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1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Índice" sheetId="1" state="visible" r:id="rId3"/>
    <sheet name="P01" sheetId="2" state="visible" r:id="rId4"/>
    <sheet name="P02" sheetId="3" state="visible" r:id="rId5"/>
    <sheet name="P03" sheetId="4" state="visible" r:id="rId6"/>
    <sheet name="P04" sheetId="5" state="visible" r:id="rId7"/>
    <sheet name="P05" sheetId="6" state="visible" r:id="rId8"/>
    <sheet name="P06" sheetId="7" state="visible" r:id="rId9"/>
    <sheet name="P07" sheetId="8" state="visible" r:id="rId10"/>
    <sheet name="P08" sheetId="9" state="visible" r:id="rId11"/>
    <sheet name="P09" sheetId="10" state="visible" r:id="rId12"/>
    <sheet name="P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<sst xmlns="http://schemas.openxmlformats.org/spreadsheetml/2006/main" count="388" uniqueCount="337">
  <si>
    <t xml:space="preserve">Capítulo 7 · Consumo, ahorro e inversión — 10 problemas numéricos resueltos</t>
  </si>
  <si>
    <t xml:space="preserve">Cada hoja resuelve un problema con fórmulas vivas: las celdas amarillas de borde azul son los parámetros editables; todo lo demás se recalcula solo.</t>
  </si>
  <si>
    <t xml:space="preserve">Hoja</t>
  </si>
  <si>
    <t xml:space="preserve">Problema</t>
  </si>
  <si>
    <t xml:space="preserve">Contenido</t>
  </si>
  <si>
    <t xml:space="preserve">P01</t>
  </si>
  <si>
    <t xml:space="preserve">Restricción presupuestaria intertemporal y el precio del tiempo</t>
  </si>
  <si>
    <t xml:space="preserve">RPI, riqueza W, interceptos, deudor vs. acreedor</t>
  </si>
  <si>
    <t xml:space="preserve">P02</t>
  </si>
  <si>
    <t xml:space="preserve">Euler y la solución cerrada con utilidad logarítmica</t>
  </si>
  <si>
    <t xml:space="preserve">c₁ = W/(1+β); propensión a consumir de la riqueza</t>
  </si>
  <si>
    <t xml:space="preserve">P03</t>
  </si>
  <si>
    <t xml:space="preserve">¿Sube el ahorro cuando sube la tasa de interés? (CRRA)</t>
  </si>
  <si>
    <t xml:space="preserve">c₁ = W/[1+β^(1/σ)(1+r)^((1−σ)/σ)]; signo de ∂s/∂r</t>
  </si>
  <si>
    <t xml:space="preserve">P04</t>
  </si>
  <si>
    <t xml:space="preserve">Descomposición de Hicks de un alza de la tasa</t>
  </si>
  <si>
    <t xml:space="preserve">Canasta compensada, efecto sustitución vs. ingreso</t>
  </si>
  <si>
    <t xml:space="preserve">P05</t>
  </si>
  <si>
    <t xml:space="preserve">Shocks transitorios, permanentes y anticipados (PIH)</t>
  </si>
  <si>
    <t xml:space="preserve">c = [r/(1+r)]·W; PMC según tipo de shock</t>
  </si>
  <si>
    <t xml:space="preserve">P06</t>
  </si>
  <si>
    <t xml:space="preserve">Equivalencia ricardiana: una rebaja tributaria que no hace nada</t>
  </si>
  <si>
    <t xml:space="preserve">Restricción del gobierno; ahorro privado vs. público</t>
  </si>
  <si>
    <t xml:space="preserve">P07</t>
  </si>
  <si>
    <t xml:space="preserve">Restricción de liquidez y solución de esquina</t>
  </si>
  <si>
    <t xml:space="preserve">s₁ ≥ 0; desigualdad de Euler; costo de bienestar</t>
  </si>
  <si>
    <t xml:space="preserve">P08</t>
  </si>
  <si>
    <t xml:space="preserve">Capital óptimo y costo de uso del capital</t>
  </si>
  <si>
    <t xml:space="preserve">K* = [αA/(r+δ)]^(1/(1−α)); inversión neta y bruta</t>
  </si>
  <si>
    <t xml:space="preserve">P09</t>
  </si>
  <si>
    <t xml:space="preserve">Costos de ajuste y la q de Tobin</t>
  </si>
  <si>
    <t xml:space="preserve">I/K = (q−1)/φ, q = PMgK/(r+δ); convergencia gradual</t>
  </si>
  <si>
    <t xml:space="preserve">P10</t>
  </si>
  <si>
    <t xml:space="preserve">Dinámica de la deuda pública y la carrera entre r y g</t>
  </si>
  <si>
    <t xml:space="preserve">b_{t+1} = θb_t − sp; superávit estabilizador</t>
  </si>
  <si>
    <t xml:space="preserve">Leyenda:</t>
  </si>
  <si>
    <t xml:space="preserve">  </t>
  </si>
  <si>
    <t xml:space="preserve">Celda de parámetro: edítala y toda la hoja se recalcula.</t>
  </si>
  <si>
    <t xml:space="preserve">Resultado principal del problema (fórmula, no valor pegado).</t>
  </si>
  <si>
    <t xml:space="preserve">Fuente: cap07_problemas_numericos.html — Cap. 7, «Análisis macroeconómico intermedio» (M. Villena, UTFSM, 2025). Los enunciados y parámetros de cada hoja se transcriben literalmente de ese archivo.</t>
  </si>
  <si>
    <t xml:space="preserve">Problema 01 · Restricción presupuestaria intertemporal</t>
  </si>
  <si>
    <t xml:space="preserve">Hogar A vive dos períodos, recibe dotación exógena (y₁, y₂), presta o pide prestado libremente a la tasa real r y no deja herencia. Derivar la RPI, la riqueza W, los interceptos, y evaluar un alza de r.</t>
  </si>
  <si>
    <t xml:space="preserve">1 · Parámetros</t>
  </si>
  <si>
    <t xml:space="preserve">Ingreso período 1   y₁</t>
  </si>
  <si>
    <t xml:space="preserve">Ingreso período 2   y₂</t>
  </si>
  <si>
    <t xml:space="preserve">Tasa real   r</t>
  </si>
  <si>
    <t xml:space="preserve">Consumo elegido en t=1   c₁</t>
  </si>
  <si>
    <t xml:space="preserve">plan concreto del apartado (c)</t>
  </si>
  <si>
    <t xml:space="preserve">Tasa alternativa   r'</t>
  </si>
  <si>
    <t xml:space="preserve">apartado (d)</t>
  </si>
  <si>
    <t xml:space="preserve">2 · (a) Riqueza: c₁ + c₂/(1+r) = y₁ + y₂/(1+r) ≡ W</t>
  </si>
  <si>
    <t xml:space="preserve">Valor presente del ingreso   W</t>
  </si>
  <si>
    <t xml:space="preserve"> = y₁ + y₂/(1+r)</t>
  </si>
  <si>
    <t xml:space="preserve">3 · (b) Interceptos de la recta presupuestaria</t>
  </si>
  <si>
    <t xml:space="preserve">Consumo máximo hoy   c₁ᵐᵃˣ = W</t>
  </si>
  <si>
    <t xml:space="preserve">Consumo máximo mañana   c₂ᵐᵃˣ = (1+r)W</t>
  </si>
  <si>
    <t xml:space="preserve">Pendiente de la recta   −(1+r)</t>
  </si>
  <si>
    <t xml:space="preserve">La recta pasa por la dotación (y₁, y₂) = (100, 126) y tiene pendiente −(1+r).</t>
  </si>
  <si>
    <t xml:space="preserve">4 · (c) Un plan de consumo concreto</t>
  </si>
  <si>
    <t xml:space="preserve">Ahorro   s₁ = y₁ − c₁</t>
  </si>
  <si>
    <t xml:space="preserve">negativo ⇒ se endeuda</t>
  </si>
  <si>
    <t xml:space="preserve">Consumo futuro   c₂ = y₂ + (1+r)s₁</t>
  </si>
  <si>
    <t xml:space="preserve">Verificación en valor presente   c₁ + c₂/(1+r)</t>
  </si>
  <si>
    <t xml:space="preserve">debe ser igual a W</t>
  </si>
  <si>
    <t xml:space="preserve">¿Cuadra con W?  (0 = ✓)</t>
  </si>
  <si>
    <t xml:space="preserve">Posición neta en t = 1</t>
  </si>
  <si>
    <t xml:space="preserve">5 · (d) ¿Qué pasa si sube la tasa?</t>
  </si>
  <si>
    <t xml:space="preserve">Nueva riqueza   W' = y₁ + y₂/(1+r')</t>
  </si>
  <si>
    <t xml:space="preserve">Cambio de riqueza   ΔW = W' − W</t>
  </si>
  <si>
    <t xml:space="preserve">Variación porcentual</t>
  </si>
  <si>
    <t xml:space="preserve">¿Gana o pierde este hogar?</t>
  </si>
  <si>
    <t xml:space="preserve">Lectura: la tasa de interés es el precio relativo del consumo presente en términos de consumo futuro. Como la dotación siempre es alcanzable, el signo del efecto riqueza de un cambio en r lo determina la posición neta: los deudores pierden, los acreedores ganan.</t>
  </si>
  <si>
    <t xml:space="preserve">Datos del gráfico (recta presupuestaria)</t>
  </si>
  <si>
    <t xml:space="preserve">c₁</t>
  </si>
  <si>
    <t xml:space="preserve">c₂  (r)</t>
  </si>
  <si>
    <t xml:space="preserve">c₂  (r')</t>
  </si>
  <si>
    <t xml:space="preserve">Dotación c₂</t>
  </si>
  <si>
    <t xml:space="preserve">Problema 02 · Ecuación de Euler y solución cerrada logarítmica</t>
  </si>
  <si>
    <t xml:space="preserve">El hogar A elige su plan óptimo maximizando U(c₁,c₂) = ln c₁ + β ln c₂ sujeto a la RPI. Derivar Euler, resolver c₁, c₂, s₁ y mostrar que la propensión a consumir de la riqueza no depende de r.</t>
  </si>
  <si>
    <t xml:space="preserve">Factor de descuento   β</t>
  </si>
  <si>
    <t xml:space="preserve">2 · (a) Ecuación de Euler:  u'(c₁) = β(1+r)·u'(c₂)  ⟺  c₂/c₁ = β(1+r)</t>
  </si>
  <si>
    <t xml:space="preserve">Factor de inclinación   β(1+r)</t>
  </si>
  <si>
    <t xml:space="preserve">Perfil de consumo</t>
  </si>
  <si>
    <t xml:space="preserve">3 · (b) Cerrando el sistema con la RPI:  c₁(1+β) = W</t>
  </si>
  <si>
    <t xml:space="preserve">Riqueza   W = y₁ + y₂/(1+r)</t>
  </si>
  <si>
    <t xml:space="preserve">Consumo   c₁ = W/(1+β)</t>
  </si>
  <si>
    <t xml:space="preserve">Consumo   c₂ = β(1+r)·c₁</t>
  </si>
  <si>
    <t xml:space="preserve">Verificación   c₁ + c₂/(1+r) − W  (0 = ✓)</t>
  </si>
  <si>
    <t xml:space="preserve">Utilidad alcanzada   U = ln c₁ + β ln c₂</t>
  </si>
  <si>
    <t xml:space="preserve">4 · (c) La propensión a consumir de la riqueza</t>
  </si>
  <si>
    <t xml:space="preserve">∂c₁/∂W = 1/(1+β)</t>
  </si>
  <si>
    <t xml:space="preserve">independiente de r</t>
  </si>
  <si>
    <t xml:space="preserve">Participación efectiva   c₁/W</t>
  </si>
  <si>
    <t xml:space="preserve">idéntica a la anterior</t>
  </si>
  <si>
    <t xml:space="preserve">5 · Comprobación: c₁/W es constante al variar r</t>
  </si>
  <si>
    <t xml:space="preserve">r</t>
  </si>
  <si>
    <t xml:space="preserve">W</t>
  </si>
  <si>
    <t xml:space="preserve">c₂</t>
  </si>
  <si>
    <t xml:space="preserve">s₁</t>
  </si>
  <si>
    <t xml:space="preserve">c₁/W</t>
  </si>
  <si>
    <t xml:space="preserve">La ecuación de Euler no dice cuánto se consume, sino cómo se inclina el perfil de consumo. El nivel lo fija la riqueza; la pendiente la fija β(1+r). Con σ = 1 la tasa de interés solo entra a través de W: no altera cómo se reparte la riqueza, solo cuánta riqueza hay.</t>
  </si>
  <si>
    <t xml:space="preserve">Problema 03 · CRRA: ¿sube el ahorro cuando sube la tasa?</t>
  </si>
  <si>
    <t xml:space="preserve">Hogar B de ciclo de vida (trabaja en t=1, pensión pequeña en t=2) con u(c) = c^(1−σ)/(1−σ). Solución cerrada c₁ = W/[1 + β^(1/σ)(1+r)^((1−σ)/σ)] y signo de ∂s₁/∂r según la EIS = 1/σ.</t>
  </si>
  <si>
    <t xml:space="preserve">Ingreso laboral   y₁</t>
  </si>
  <si>
    <t xml:space="preserve">Pensión   y₂</t>
  </si>
  <si>
    <t xml:space="preserve">Tasa baja   r₀</t>
  </si>
  <si>
    <t xml:space="preserve">Tasa alta   r₁</t>
  </si>
  <si>
    <t xml:space="preserve">2 · (a) Riqueza bajo cada tasa</t>
  </si>
  <si>
    <t xml:space="preserve">W(r₀) = y₁ + y₂/(1+r₀)</t>
  </si>
  <si>
    <t xml:space="preserve">W(r₁) = y₁ + y₂/(1+r₁)</t>
  </si>
  <si>
    <t xml:space="preserve">ΔW</t>
  </si>
  <si>
    <t xml:space="preserve">la pensión se descuenta más fuerte</t>
  </si>
  <si>
    <t xml:space="preserve">3 · (b) Ahorro bajo dos tasas, para tres valores de σ</t>
  </si>
  <si>
    <t xml:space="preserve">σ  (EIS = 1/σ)</t>
  </si>
  <si>
    <t xml:space="preserve">c₁ · r₀</t>
  </si>
  <si>
    <t xml:space="preserve">s₁ · r₀</t>
  </si>
  <si>
    <t xml:space="preserve">c₁ · r₁</t>
  </si>
  <si>
    <t xml:space="preserve">s₁ · r₁</t>
  </si>
  <si>
    <t xml:space="preserve">Δs₁</t>
  </si>
  <si>
    <t xml:space="preserve">Var. %</t>
  </si>
  <si>
    <t xml:space="preserve">4 · (c) Descomposición del signo de ∂s₁/∂r</t>
  </si>
  <si>
    <t xml:space="preserve">① Sustitución (+ ahorro): el consumo futuro se abarata; su fuerza es proporcional a la EIS = 1/σ.</t>
  </si>
  <si>
    <t xml:space="preserve">② Ingreso (− ahorro): el hogar es prestamista neto, la misma cartera le rinde más y puede consumir más hoy.</t>
  </si>
  <si>
    <t xml:space="preserve">③ Riqueza vía descuento (+ ahorro, pequeño aquí): el valor presente de y₂ cae.</t>
  </si>
  <si>
    <t xml:space="preserve">Con σ &lt; 1 domina la sustitución y el ahorro sube. Con σ &gt; 1 domina el efecto ingreso y el ahorro cae pese a que el interés es más alto. Con σ = 1 los dos primeros se cancelan exactamente y solo sobrevive el tercer canal, diminuto.</t>
  </si>
  <si>
    <t xml:space="preserve">5 · Barrido fino de σ: dónde cambia el signo de Δs₁</t>
  </si>
  <si>
    <t xml:space="preserve">σ</t>
  </si>
  <si>
    <t xml:space="preserve">Problema 04 · Descomposición de Hicks de un alza de la tasa</t>
  </si>
  <si>
    <t xml:space="preserve">Hogar B con utilidad logarítmica; r sube de 5% a 10%. Se descompone el cambio total de c₁ en un efecto sustitución puro (canasta compensada a la utilidad inicial) y un efecto ingreso.</t>
  </si>
  <si>
    <t xml:space="preserve">Tasa inicial   r₀</t>
  </si>
  <si>
    <t xml:space="preserve">Tasa final   r₁</t>
  </si>
  <si>
    <t xml:space="preserve">2 · (a) Canastas inicial E₀ y final E₁</t>
  </si>
  <si>
    <t xml:space="preserve">Punto</t>
  </si>
  <si>
    <t xml:space="preserve">U</t>
  </si>
  <si>
    <t xml:space="preserve">E₀   (r = r₀)</t>
  </si>
  <si>
    <t xml:space="preserve">E₁   (r = r₁)</t>
  </si>
  <si>
    <t xml:space="preserve">Eʰ   (compensada: precios r₁, utilidad U₀)</t>
  </si>
  <si>
    <t xml:space="preserve">La canasta compensada es la más barata (a los nuevos precios) que entrega U₀. Como el gasto mínimo también satisface Euler a la nueva tasa, c₂ʰ = β(1+r₁)c₁ʰ; imponiendo U = U₀ se despeja ln c₁ʰ = [U₀ − β·ln(β(1+r₁))]/(1+β).</t>
  </si>
  <si>
    <t xml:space="preserve">Verificación: Uʰ − U₀  (0 = ✓)</t>
  </si>
  <si>
    <t xml:space="preserve">Riqueza compensatoria vs. efectiva   W₁ − Wʰ</t>
  </si>
  <si>
    <t xml:space="preserve">positivo ⇒ el hogar está mejor: es acreedor y subió r</t>
  </si>
  <si>
    <t xml:space="preserve">3 · (c) Los dos efectos</t>
  </si>
  <si>
    <t xml:space="preserve">Efecto</t>
  </si>
  <si>
    <t xml:space="preserve">Δc₁</t>
  </si>
  <si>
    <t xml:space="preserve">Δc₂</t>
  </si>
  <si>
    <t xml:space="preserve">Sustitución   (E₀ → Eʰ)</t>
  </si>
  <si>
    <t xml:space="preserve">Ingreso   (Eʰ → E₁)</t>
  </si>
  <si>
    <t xml:space="preserve">Total   (E₀ → E₁)</t>
  </si>
  <si>
    <t xml:space="preserve">Grado de cancelación  |ingreso| / |sustitución|</t>
  </si>
  <si>
    <t xml:space="preserve">Los dos efectos son de signo opuesto y magnitud casi idéntica. El residuo no es un tercer efecto misterioso: es la caída de la riqueza porque la pensión se descuenta a r₁ en vez de r₀. Con utilidad logarítmica el ahorro es esencialmente insensible a la tasa de interés.</t>
  </si>
  <si>
    <t xml:space="preserve">Problema 05 · Ingreso permanente: shocks transitorios, permanentes y anticipados</t>
  </si>
  <si>
    <t xml:space="preserve">Horizonte infinito, previsión perfecta y β(1+r) = 1, de modo que c es constante. c_t = [r/(1+r)]·W_t. Se comparan tres shocks y sus propensiones marginales a consumir.</t>
  </si>
  <si>
    <t xml:space="preserve">Ingreso por período   y</t>
  </si>
  <si>
    <t xml:space="preserve">Shock transitorio en t = 0</t>
  </si>
  <si>
    <t xml:space="preserve">Shock permanente (por período)</t>
  </si>
  <si>
    <t xml:space="preserve">Shock anticipado: monto</t>
  </si>
  <si>
    <t xml:space="preserve">Shock anticipado: ocurre en t =</t>
  </si>
  <si>
    <t xml:space="preserve">2 · (a) Punto de partida</t>
  </si>
  <si>
    <t xml:space="preserve">Riqueza   W₀ = y(1+r)/r</t>
  </si>
  <si>
    <t xml:space="preserve">anualidad perpetua que empieza hoy</t>
  </si>
  <si>
    <t xml:space="preserve">Factor de anualidad   r/(1+r)</t>
  </si>
  <si>
    <t xml:space="preserve">Consumo   c = [r/(1+r)]·W₀</t>
  </si>
  <si>
    <t xml:space="preserve"> = y: sin shocks el hogar consume su ingreso</t>
  </si>
  <si>
    <t xml:space="preserve">3 · (b)-(d) Los tres shocks</t>
  </si>
  <si>
    <t xml:space="preserve">Tipo de shock</t>
  </si>
  <si>
    <t xml:space="preserve">Δc</t>
  </si>
  <si>
    <t xml:space="preserve">PMC del ingreso corriente</t>
  </si>
  <si>
    <t xml:space="preserve">Δs en t = 0</t>
  </si>
  <si>
    <t xml:space="preserve">Transitorio  (+shock hoy)</t>
  </si>
  <si>
    <t xml:space="preserve">Permanente  (+shock siempre)</t>
  </si>
  <si>
    <t xml:space="preserve">Anticipado  (+shock en t = T)</t>
  </si>
  <si>
    <t xml:space="preserve">Δy₀ = 0 y aun así c₀ sube: el hogar se endeuda contra la buena noticia</t>
  </si>
  <si>
    <t xml:space="preserve">PMC transitoria = r/(1+r) (el hogar ahorra casi todo y distribuye el resto en un flujo perpetuo). PMC permanente = 1 (el consumo sube exactamente lo mismo que el ingreso y el ahorro no cambia). En el shock anticipado el consumo sube hoy aunque el ingreso corriente no cambió.</t>
  </si>
  <si>
    <t xml:space="preserve">4 · Trayectorias bajo el shock anticipado</t>
  </si>
  <si>
    <t xml:space="preserve">t</t>
  </si>
  <si>
    <t xml:space="preserve">Ingreso y_t</t>
  </si>
  <si>
    <t xml:space="preserve">Consumo c_t</t>
  </si>
  <si>
    <t xml:space="preserve">Ahorro s_t</t>
  </si>
  <si>
    <t xml:space="preserve">Activos a_t (fin de t)</t>
  </si>
  <si>
    <t xml:space="preserve">Problema 06 · Equivalencia ricardiana</t>
  </si>
  <si>
    <t xml:space="preserve">El gobierno gasta G₁ y G₂ financiándose con impuestos de suma alzada y deuda, sujeto a su propia restricción intertemporal. Se elimina T₁ y se financia con deuda: ¿cambia algo real?</t>
  </si>
  <si>
    <t xml:space="preserve">Ingreso bruto   y₁</t>
  </si>
  <si>
    <t xml:space="preserve">Ingreso bruto   y₂</t>
  </si>
  <si>
    <t xml:space="preserve">Gasto público   G₁</t>
  </si>
  <si>
    <t xml:space="preserve">Gasto público   G₂</t>
  </si>
  <si>
    <t xml:space="preserve">Impuesto inicial   T₁</t>
  </si>
  <si>
    <t xml:space="preserve">Impuesto inicial   T₂</t>
  </si>
  <si>
    <t xml:space="preserve">Impuesto reformado   T₁'</t>
  </si>
  <si>
    <t xml:space="preserve">el gobierno elimina el impuesto de t = 1</t>
  </si>
  <si>
    <t xml:space="preserve">2 · (b) La restricción intertemporal del gobierno:  T₁ + T₂/(1+r) = G₁ + G₂/(1+r)</t>
  </si>
  <si>
    <t xml:space="preserve">Valor presente del gasto   VP(G)</t>
  </si>
  <si>
    <t xml:space="preserve">Verificación escenario inicial   VP(T) − VP(G)</t>
  </si>
  <si>
    <t xml:space="preserve">0 = presupuesto cuadra</t>
  </si>
  <si>
    <t xml:space="preserve">Impuesto reformado   T₂' = (1+r)[VP(G) − T₁']</t>
  </si>
  <si>
    <t xml:space="preserve">Deuda emitida   B = G₁ − T₁'</t>
  </si>
  <si>
    <t xml:space="preserve">Servicio de deuda + gasto en t=2   (1+r)B + G₂</t>
  </si>
  <si>
    <t xml:space="preserve"> = T₂' ✓</t>
  </si>
  <si>
    <t xml:space="preserve">3 · (a)+(c) El resultado de neutralidad</t>
  </si>
  <si>
    <t xml:space="preserve">Variable</t>
  </si>
  <si>
    <t xml:space="preserve">Antes</t>
  </si>
  <si>
    <t xml:space="preserve">Después</t>
  </si>
  <si>
    <t xml:space="preserve">Δ</t>
  </si>
  <si>
    <t xml:space="preserve">Riqueza del hogar   W</t>
  </si>
  <si>
    <t xml:space="preserve">Consumo   c₂ = β(1+r)c₁</t>
  </si>
  <si>
    <t xml:space="preserve">Ahorro privado   s^priv = (y₁−T₁) − c₁</t>
  </si>
  <si>
    <t xml:space="preserve">Ahorro público   T₁ − G₁</t>
  </si>
  <si>
    <t xml:space="preserve">Ahorro nacional   privado + público</t>
  </si>
  <si>
    <t xml:space="preserve">¿Se cumple la equivalencia ricardiana?</t>
  </si>
  <si>
    <t xml:space="preserve">El hogar ahorra íntegramente la rebaja porque anticipa el impuesto futuro: el déficit público se compensa peso a peso con ahorro privado. La deuda pública no es riqueza neta.</t>
  </si>
  <si>
    <t xml:space="preserve">4 · (d) Por qué falla en la práctica</t>
  </si>
  <si>
    <t xml:space="preserve">① Horizonte finito sin altruismo: si el hogar muere antes de t = 2, parte de T₂ la pagan otros. Solo el legado altruista à la Barro restaura la equivalencia.</t>
  </si>
  <si>
    <t xml:space="preserve">② Restricciones de liquidez (problema 07): el hogar quería endeudarse y no podía; la rebaja tributaria es justamente el préstamo que el mercado le negaba, y la consume. PMC ≈ 1.</t>
  </si>
  <si>
    <t xml:space="preserve">③ Impuestos distorsionadores: con impuestos al trabajo o al capital, mover la carga en el tiempo altera precios relativos. Se suman la incertidumbre sobre quién pagará (ahorro precautorio) y la miopía.</t>
  </si>
  <si>
    <t xml:space="preserve">En los datos la PMC de las rebajas tributarias transitorias se estima entre 0,2 y 0,5 — ni 0 ni 1.</t>
  </si>
  <si>
    <t xml:space="preserve">Problema 07 · Restricción de liquidez y solución de esquina</t>
  </si>
  <si>
    <t xml:space="preserve">Hogar A (ingreso creciente, quiere endeudarse) pero ahora s₁ ≥ 0: no tiene acceso al crédito. ¿Se activa la restricción? Solución de esquina, desigualdad de Euler, costo de bienestar y PMC.</t>
  </si>
  <si>
    <t xml:space="preserve">Transferencia transitoria en t=1</t>
  </si>
  <si>
    <t xml:space="preserve">2 · (a) ¿Se activa la restricción?  Condición:  y₂ &gt; β(1+r)·y₁</t>
  </si>
  <si>
    <t xml:space="preserve">Riqueza   W</t>
  </si>
  <si>
    <t xml:space="preserve">Consumo deseado sin restricción   c₁* = W/(1+β)</t>
  </si>
  <si>
    <t xml:space="preserve">Lado izquierdo   y₂</t>
  </si>
  <si>
    <t xml:space="preserve">Lado derecho   β(1+r)y₁</t>
  </si>
  <si>
    <t xml:space="preserve">¿Muerde la restricción?</t>
  </si>
  <si>
    <t xml:space="preserve">La lectura es directa: la restricción muerde cuando el ingreso crece rápido — jóvenes, estudiantes, hogares al inicio de su carrera.</t>
  </si>
  <si>
    <t xml:space="preserve">3 · (b) Solución de esquina y desigualdad de Euler</t>
  </si>
  <si>
    <t xml:space="preserve">Consumo restringido   c₁ = mín(c₁*, y₁)</t>
  </si>
  <si>
    <t xml:space="preserve">Consumo   c₂ = y₂ + (1+r)s₁</t>
  </si>
  <si>
    <t xml:space="preserve">Utilidad marginal hoy   u'(c₁) = 1/c₁</t>
  </si>
  <si>
    <t xml:space="preserve">Lado derecho de Euler   β(1+r)/c₂</t>
  </si>
  <si>
    <t xml:space="preserve">Multiplicador de Lagrange   μ = u'(c₁) − β(1+r)u'(c₂)</t>
  </si>
  <si>
    <t xml:space="preserve">precio sombra de un peso de crédito</t>
  </si>
  <si>
    <t xml:space="preserve">La condición de Euler ya no se cumple con igualdad sino con desigualdad: u'(c₁) &gt; β(1+r)u'(c₂). La brecha es el multiplicador de la restricción.</t>
  </si>
  <si>
    <t xml:space="preserve">4 · (c) Costo de bienestar en equivalente de consumo</t>
  </si>
  <si>
    <t xml:space="preserve">Utilidad sin restricción   U*</t>
  </si>
  <si>
    <t xml:space="preserve">Utilidad restringida   U^c</t>
  </si>
  <si>
    <t xml:space="preserve">Pérdida   ΔU = U* − U^c</t>
  </si>
  <si>
    <t xml:space="preserve">Factor compensatorio   λ = exp(ΔU/(1+β))</t>
  </si>
  <si>
    <t xml:space="preserve">Pérdida en % del consumo de por vida</t>
  </si>
  <si>
    <t xml:space="preserve">Se busca el factor λ que escala ambos consumos y compensa la pérdida: como ΔU = (1+β)·ln λ. La pérdida es modesta aquí, pero crece rápido con la pendiente del perfil de ingreso.</t>
  </si>
  <si>
    <t xml:space="preserve">5 · (d) PMC ante una transferencia transitoria</t>
  </si>
  <si>
    <t xml:space="preserve">Nueva riqueza   W' = (y₁ + τ) + y₂/(1+r)</t>
  </si>
  <si>
    <t xml:space="preserve">Deseo sin restricción   W'/(1+β)</t>
  </si>
  <si>
    <t xml:space="preserve">Consumo efectivo   c₁' = mín(W'/(1+β), y₁+τ)</t>
  </si>
  <si>
    <t xml:space="preserve">¿Sigue restringido?</t>
  </si>
  <si>
    <t xml:space="preserve">PMC = Δc₁/τ</t>
  </si>
  <si>
    <t xml:space="preserve">Comparación: PMC del hogar NO restringido = 1/(1+β)</t>
  </si>
  <si>
    <t xml:space="preserve">Comparación: PMC del PIH infinito (P05) = r/(1+r)</t>
  </si>
  <si>
    <t xml:space="preserve">Los hogares restringidos gastan casi todo, los no restringidos casi nada, y la PMC agregada es un promedio ponderado por la fracción restringida. De ahí que las transferencias fiscales se focalicen en hogares de bajos ingresos y baja liquidez.</t>
  </si>
  <si>
    <t xml:space="preserve">Problema 08 · Capital óptimo y costo de uso del capital</t>
  </si>
  <si>
    <t xml:space="preserve">Firma competitiva con Y = A·K^α, precio relativo del capital 1 y depreciación δ. Condición neoclásica PMgK = r + δ, elasticidad al costo de uso e inversión neta y bruta.</t>
  </si>
  <si>
    <t xml:space="preserve">Productividad   A</t>
  </si>
  <si>
    <t xml:space="preserve">Elasticidad del capital   α</t>
  </si>
  <si>
    <t xml:space="preserve">Depreciación   δ</t>
  </si>
  <si>
    <t xml:space="preserve">Capital heredado   K₀</t>
  </si>
  <si>
    <t xml:space="preserve">2 · (a) La condición neoclásica:  PMgK = αA·K^(α−1) = r + δ ≡ uc</t>
  </si>
  <si>
    <t xml:space="preserve">La empresa maximiza A·K^α − (r+δ)K. Por cada peso invertido sacrifica r de interés (costo de oportunidad) y pierde δ por desgaste. Despejando: K* = [αA/(r+δ)]^(1/(1−α)).</t>
  </si>
  <si>
    <t xml:space="preserve">3 · (b) Sensibilidad a la tasa</t>
  </si>
  <si>
    <t xml:space="preserve">Escenario</t>
  </si>
  <si>
    <t xml:space="preserve">uc = r + δ</t>
  </si>
  <si>
    <t xml:space="preserve">K*</t>
  </si>
  <si>
    <t xml:space="preserve">Producto Y*</t>
  </si>
  <si>
    <t xml:space="preserve">PMgK en K*</t>
  </si>
  <si>
    <t xml:space="preserve">Tasa baja</t>
  </si>
  <si>
    <t xml:space="preserve">Tasa alta</t>
  </si>
  <si>
    <t xml:space="preserve">Caída porcentual de K* al pasar de r₀ a r₁</t>
  </si>
  <si>
    <t xml:space="preserve">Elasticidad teórica   d ln K*/d ln(uc) = −1/(1−α)</t>
  </si>
  <si>
    <t xml:space="preserve">Elasticidad numérica   Δln K*/Δln uc</t>
  </si>
  <si>
    <t xml:space="preserve">debe coincidir exactamente</t>
  </si>
  <si>
    <t xml:space="preserve">La demanda de capital es elástica al costo de uso, y tanto más cuanto menor sea α: con rendimientos decrecientes más fuertes hace falta mover mucho más K para que el PMgK vuelva a igualar el costo de uso.</t>
  </si>
  <si>
    <t xml:space="preserve">4 · (c) Inversión neta y bruta (llegar a K* en un período, con r = r₀)</t>
  </si>
  <si>
    <t xml:space="preserve">Inversión neta   Iⁿ = K* − K₀</t>
  </si>
  <si>
    <t xml:space="preserve">Reposición del desgaste   δK₀</t>
  </si>
  <si>
    <t xml:space="preserve">Inversión bruta   Iᵇ = Iⁿ + δK₀</t>
  </si>
  <si>
    <t xml:space="preserve">Fracción de la inversión bruta que solo repone</t>
  </si>
  <si>
    <t xml:space="preserve">5 · La curva de demanda de capital K*(r)</t>
  </si>
  <si>
    <t xml:space="preserve">K*(r)</t>
  </si>
  <si>
    <t xml:space="preserve">Inversión neta desde K₀</t>
  </si>
  <si>
    <t xml:space="preserve">Problema 09 · Costos de ajuste y la q de Tobin</t>
  </si>
  <si>
    <t xml:space="preserve">Misma empresa del P08, pero instalar capital cuesta Φ(I,K) = (φ/2)(I/K)²K. Regla de inversión I/K = (q−1)/φ con q = PMgK/(r+δ): la brecha con K* se cierra gradualmente.</t>
  </si>
  <si>
    <t xml:space="preserve">Costo de ajuste   φ</t>
  </si>
  <si>
    <t xml:space="preserve">2 · (a) La regla de inversión:  1 + φ(I/K) = q  ⟹  I/K = (q − 1)/φ</t>
  </si>
  <si>
    <t xml:space="preserve">El costo marginal de instalar una unidad es el precio de compra (1) más el costo marginal de ajuste ∂Φ/∂I = φ(I/K). El beneficio marginal es q, el valor de la unidad instalada. La tasa de inversión es lineal en q − 1, con pendiente 1/φ: costos de ajuste altos implican inversión lenta.</t>
  </si>
  <si>
    <t xml:space="preserve">Capital de largo plazo   K* = [αA/(r+δ)]^(1/(1−α))</t>
  </si>
  <si>
    <t xml:space="preserve">el punto donde q = 1</t>
  </si>
  <si>
    <t xml:space="preserve">3 · (b)-(c) Tres niveles de capital heredado</t>
  </si>
  <si>
    <t xml:space="preserve">K₀</t>
  </si>
  <si>
    <t xml:space="preserve">PMgK = αA·K^(α−1)</t>
  </si>
  <si>
    <t xml:space="preserve">q = PMgK/(r+δ)</t>
  </si>
  <si>
    <t xml:space="preserve">I/K = (q−1)/φ</t>
  </si>
  <si>
    <t xml:space="preserve">I</t>
  </si>
  <si>
    <t xml:space="preserve">Diagnóstico</t>
  </si>
  <si>
    <t xml:space="preserve">Comparación: salto instantáneo del P08 desde K₀ = 60</t>
  </si>
  <si>
    <t xml:space="preserve">vs. la inversión gradual de la fila 1</t>
  </si>
  <si>
    <t xml:space="preserve">q &gt; 1 significa que una unidad instalada vale más que su costo de reposición, así que la empresa invierte — pero solo una fracción de la brecha. El punto de quiebre es exacto: q = 1 ⟺ PMgK = r + δ ⟺ K = K*.</t>
  </si>
  <si>
    <t xml:space="preserve">4 · Trayectoria dinámica:  K_{t+1} = K_t + I_t,  con I_t = K_t·(q_t−1)/φ  (inversión NETA)</t>
  </si>
  <si>
    <t xml:space="preserve">La regla I/K = (q−1)/φ se anula exactamente en q = 1, es decir en K = K*: por construcción es la inversión NETA (la bruta añade la reposición δK_t, que aquí se contabiliza aparte). Por eso la acumulación es K_{t+1} = K_t + I_t y el capital converge monótonamente a K*.</t>
  </si>
  <si>
    <t xml:space="preserve">Capital inicial de la simulación</t>
  </si>
  <si>
    <t xml:space="preserve">K_t</t>
  </si>
  <si>
    <t xml:space="preserve">PMgK</t>
  </si>
  <si>
    <t xml:space="preserve">q_t</t>
  </si>
  <si>
    <t xml:space="preserve">I_t/K_t</t>
  </si>
  <si>
    <t xml:space="preserve">I_t neta</t>
  </si>
  <si>
    <t xml:space="preserve">Brecha K*−K_t</t>
  </si>
  <si>
    <t xml:space="preserve">I_t bruta</t>
  </si>
  <si>
    <t xml:space="preserve">Toda la información relevante para invertir —productividad, tasa, depreciación, expectativas— se comprime en un solo número observable. Bajo competencia perfecta y rendimientos constantes a escala la q marginal coincide con la q media (valor de mercado / valor de reposición), que sí se mide en bolsa.</t>
  </si>
  <si>
    <t xml:space="preserve">Problema 10 · Dinámica de la deuda pública: la carrera entre r y g</t>
  </si>
  <si>
    <t xml:space="preserve">b_t = B_t/Y_t, sp = superávit primario/PIB. De B_{t+1} = (1+r)B_t − SP_{t+1}, dividiendo por Y_{t+1} = (1+g)Y_t: b_{t+1} = θ·b_t − sp con θ = (1+r)/(1+g).</t>
  </si>
  <si>
    <t xml:space="preserve">Deuda inicial   b₀  (% del PIB)</t>
  </si>
  <si>
    <t xml:space="preserve">Crecimiento real del PIB   g</t>
  </si>
  <si>
    <t xml:space="preserve">Superávit primario   sp  (% del PIB)</t>
  </si>
  <si>
    <t xml:space="preserve">Escenario alternativo de crecimiento   g'</t>
  </si>
  <si>
    <t xml:space="preserve">2 · (a)-(b) Factor de arrastre, estado estacionario y estabilidad</t>
  </si>
  <si>
    <t xml:space="preserve">θ = (1+r)/(1+g)</t>
  </si>
  <si>
    <t xml:space="preserve">Aproximación usual   Δb ≈ (r − g)·b − sp</t>
  </si>
  <si>
    <t xml:space="preserve">el término (r−g)b es la bola de nieve</t>
  </si>
  <si>
    <t xml:space="preserve">Estado estacionario   b* = sp/(θ − 1)</t>
  </si>
  <si>
    <t xml:space="preserve">Naturaleza del punto fijo</t>
  </si>
  <si>
    <t xml:space="preserve">¿Dónde está b₀ respecto del umbral?</t>
  </si>
  <si>
    <t xml:space="preserve">3 · (c) El superávit primario estabilizador</t>
  </si>
  <si>
    <t xml:space="preserve">sp* = (θ − 1)·b₀ = [(r − g)/(1+g)]·b₀</t>
  </si>
  <si>
    <t xml:space="preserve">Ajuste requerido respecto del sp actual</t>
  </si>
  <si>
    <t xml:space="preserve">sp* es proporcional a la deuda heredada: un país con b₀ = 120% necesitaría el doble.</t>
  </si>
  <si>
    <t xml:space="preserve">4 · (b)+(d) Trayectorias:  b_{t+1} = θ·b_t − sp</t>
  </si>
  <si>
    <t xml:space="preserve">b_t  (g)</t>
  </si>
  <si>
    <t xml:space="preserve">b_t  (g')</t>
  </si>
  <si>
    <t xml:space="preserve">b* (g)</t>
  </si>
  <si>
    <t xml:space="preserve">Solución explícita θᵗ(b₀−b*)+b*</t>
  </si>
  <si>
    <t xml:space="preserve">5 · Comparación de regímenes</t>
  </si>
  <si>
    <t xml:space="preserve">Régimen</t>
  </si>
  <si>
    <t xml:space="preserve">θ</t>
  </si>
  <si>
    <t xml:space="preserve">b* (% PIB)</t>
  </si>
  <si>
    <t xml:space="preserve">b a t = 5</t>
  </si>
  <si>
    <t xml:space="preserve">Naturaleza</t>
  </si>
  <si>
    <t xml:space="preserve">r &gt; g   (escenario base)</t>
  </si>
  <si>
    <t xml:space="preserve">r vs. g'   (escenario alternativo)</t>
  </si>
  <si>
    <t xml:space="preserve">Con g' &gt; r el signo de θ − 1 se invierte y con él toda la dinámica: el punto fijo pasa a ser un atractor estable y el crecimiento licúa la deuda incluso con sp = 0 (el b* alternativo sale negativo justamente porque el punto fijo queda por debajo de cero: cualquier b₀ finito converge hacia él).</t>
  </si>
  <si>
    <t xml:space="preserve">La sostenibilidad fiscal no depende del nivel de deuda per se sino del signo de r − g. El punto delicado es que r no es exógeno: si los mercados dudan de la solvencia, el spread sube, r sube, y una trayectoria sostenible deja de serlo. Ese es el mecanismo de equilibrios múltiples detrás de las crisis de deuda soberana.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</si>
</sst>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0.00%"/>
    <numFmt numFmtId="167" formatCode="#,##0.000"/>
    <numFmt numFmtId="168" formatCode="#,##0.0000"/>
    <numFmt numFmtId="169" formatCode="0"/>
    <numFmt numFmtId="170" formatCode="0.00000"/>
    <numFmt numFmtId="171" formatCode="0.000000"/>
    <numFmt numFmtId="172" formatCode="0.000%"/>
    <numFmt numFmtId="173" formatCode="0.00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4040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u val="single"/>
      <sz val="10"/>
      <color rgb="FF0563C1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4472C4"/>
        <bgColor rgb="FF0563C1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F2F2F2"/>
      </patternFill>
    </fill>
    <fill>
      <patternFill patternType="solid">
        <fgColor rgb="FFF2F2F2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D3E3B"/>
      <rgbColor rgb="FFF2F2F2"/>
      <rgbColor rgb="FFDDEBF7"/>
      <rgbColor rgb="FF660066"/>
      <rgbColor rgb="FFCC8F8E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3C992"/>
      <rgbColor rgb="FFD4A5A4"/>
      <rgbColor rgb="FFCC99FF"/>
      <rgbColor rgb="FFFFCC99"/>
      <rgbColor rgb="FF4472C4"/>
      <rgbColor rgb="FF33CCCC"/>
      <rgbColor rgb="FF98B855"/>
      <rgbColor rgb="FFFFCC00"/>
      <rgbColor rgb="FFFF9900"/>
      <rgbColor rgb="FFFF6600"/>
      <rgbColor rgb="FF595959"/>
      <rgbColor rgb="FF87A44B"/>
      <rgbColor rgb="FF1F3864"/>
      <rgbColor rgb="FF339966"/>
      <rgbColor rgb="FF003300"/>
      <rgbColor rgb="FF333300"/>
      <rgbColor rgb="FFBE4B48"/>
      <rgbColor rgb="FFAA433F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Recta presupuestaria: pivote sobre la dotación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P01!C35</c:f>
              <c:strCache>
                <c:ptCount val="1"/>
                <c:pt idx="0">
                  <c:v>c₂  (r)</c:v>
                </c:pt>
              </c:strCache>
            </c:strRef>
          </c:tx>
          <c:spPr>
            <a:solidFill>
              <a:srgbClr val="87a44b"/>
            </a:solidFill>
            <a:ln w="47520">
              <a:solidFill>
                <a:srgbClr val="87a44b"/>
              </a:solidFill>
              <a:round/>
            </a:ln>
          </c:spPr>
          <c:marker>
            <c:symbol val="circle"/>
            <c:size val="5"/>
            <c:spPr>
              <a:solidFill>
                <a:srgbClr val="87a44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P01!$B$36:$B$39</c:f>
              <c:numCache>
                <c:formatCode>#,##0.00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220</c:v>
                </c:pt>
                <c:pt idx="3">
                  <c:v>214.545454545455</c:v>
                </c:pt>
              </c:numCache>
            </c:numRef>
          </c:xVal>
          <c:yVal>
            <c:numRef>
              <c:f>P01!$C$36:$C$39</c:f>
              <c:numCache>
                <c:formatCode>#,##0.00</c:formatCode>
                <c:ptCount val="4"/>
                <c:pt idx="0">
                  <c:v>231</c:v>
                </c:pt>
                <c:pt idx="1">
                  <c:v>126</c:v>
                </c:pt>
                <c:pt idx="2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P01!D35</c:f>
              <c:strCache>
                <c:ptCount val="1"/>
                <c:pt idx="0">
                  <c:v>c₂  (r')</c:v>
                </c:pt>
              </c:strCache>
            </c:strRef>
          </c:tx>
          <c:spPr>
            <a:solidFill>
              <a:srgbClr val="b3c992"/>
            </a:solidFill>
            <a:ln w="47520">
              <a:solidFill>
                <a:srgbClr val="b3c992"/>
              </a:solidFill>
              <a:round/>
            </a:ln>
          </c:spPr>
          <c:marker>
            <c:symbol val="circle"/>
            <c:size val="5"/>
            <c:spPr>
              <a:solidFill>
                <a:srgbClr val="b3c992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P01!$B$36:$B$39</c:f>
              <c:numCache>
                <c:formatCode>#,##0.00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220</c:v>
                </c:pt>
                <c:pt idx="3">
                  <c:v>214.545454545455</c:v>
                </c:pt>
              </c:numCache>
            </c:numRef>
          </c:xVal>
          <c:yVal>
            <c:numRef>
              <c:f>P01!$D$36:$D$39</c:f>
              <c:numCache>
                <c:formatCode>#,##0.00</c:formatCode>
                <c:ptCount val="4"/>
                <c:pt idx="0">
                  <c:v>236</c:v>
                </c:pt>
                <c:pt idx="1">
                  <c:v>126</c:v>
                </c:pt>
                <c:pt idx="3">
                  <c:v>0</c:v>
                </c:pt>
              </c:numCache>
            </c:numRef>
          </c:yVal>
          <c:smooth val="1"/>
        </c:ser>
        <c:axId val="18217845"/>
        <c:axId val="5397400"/>
      </c:scatterChart>
      <c:valAx>
        <c:axId val="1821784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c₁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97400"/>
        <c:crosses val="autoZero"/>
        <c:crossBetween val="midCat"/>
      </c:valAx>
      <c:valAx>
        <c:axId val="53974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217845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Δs₁ al pasar de r₀ a r₁, según σ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P03!E29</c:f>
              <c:strCache>
                <c:ptCount val="1"/>
                <c:pt idx="0">
                  <c:v>Δs₁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circle"/>
            <c:size val="5"/>
            <c:spPr>
              <a:solidFill>
                <a:srgbClr val="98b855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P03!$B$30:$B$42</c:f>
              <c:numCache>
                <c:formatCode>#,##0.00</c:formatCode>
                <c:ptCount val="13"/>
                <c:pt idx="0">
                  <c:v>0.25</c:v>
                </c:pt>
                <c:pt idx="1">
                  <c:v>0.4</c:v>
                </c:pt>
                <c:pt idx="2">
                  <c:v>0.5</c:v>
                </c:pt>
                <c:pt idx="3">
                  <c:v>0.6</c:v>
                </c:pt>
                <c:pt idx="4">
                  <c:v>0.75</c:v>
                </c:pt>
                <c:pt idx="5">
                  <c:v>0.9</c:v>
                </c:pt>
                <c:pt idx="6">
                  <c:v>1</c:v>
                </c:pt>
                <c:pt idx="7">
                  <c:v>1.1</c:v>
                </c:pt>
                <c:pt idx="8">
                  <c:v>1.25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P03!$E$30:$E$42</c:f>
              <c:numCache>
                <c:formatCode>#,##0.000</c:formatCode>
                <c:ptCount val="13"/>
                <c:pt idx="0">
                  <c:v>8.10866009711917</c:v>
                </c:pt>
                <c:pt idx="1">
                  <c:v>4.28831964307085</c:v>
                </c:pt>
                <c:pt idx="2">
                  <c:v>3.01408843031038</c:v>
                </c:pt>
                <c:pt idx="3">
                  <c:v>2.1646352659927</c:v>
                </c:pt>
                <c:pt idx="4">
                  <c:v>1.31531046475733</c:v>
                </c:pt>
                <c:pt idx="5">
                  <c:v>0.749207933058031</c:v>
                </c:pt>
                <c:pt idx="6">
                  <c:v>0.466200466200462</c:v>
                </c:pt>
                <c:pt idx="7">
                  <c:v>0.234673647530173</c:v>
                </c:pt>
                <c:pt idx="8">
                  <c:v>-0.0431265024291179</c:v>
                </c:pt>
                <c:pt idx="9">
                  <c:v>-0.382608382935956</c:v>
                </c:pt>
                <c:pt idx="10">
                  <c:v>-0.806872927632924</c:v>
                </c:pt>
                <c:pt idx="11">
                  <c:v>-1.06138069165972</c:v>
                </c:pt>
                <c:pt idx="12">
                  <c:v>-1.23102986584829</c:v>
                </c:pt>
              </c:numCache>
            </c:numRef>
          </c:yVal>
          <c:smooth val="1"/>
        </c:ser>
        <c:axId val="98626852"/>
        <c:axId val="6018976"/>
      </c:scatterChart>
      <c:valAx>
        <c:axId val="9862685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σ (aversión relativa al riesgo)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18976"/>
        <c:crosses val="autoZero"/>
        <c:crossBetween val="midCat"/>
      </c:valAx>
      <c:valAx>
        <c:axId val="60189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Δs₁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626852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Shock anticipado: el consumo salta antes que el ingreso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P05!C26</c:f>
              <c:strCache>
                <c:ptCount val="1"/>
                <c:pt idx="0">
                  <c:v>Ingreso y_t</c:v>
                </c:pt>
              </c:strCache>
            </c:strRef>
          </c:tx>
          <c:spPr>
            <a:solidFill>
              <a:srgbClr val="aa433f"/>
            </a:solidFill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P05!$B$27:$B$38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strCache>
            </c:strRef>
          </c:cat>
          <c:val>
            <c:numRef>
              <c:f>P05!$C$27:$C$38</c:f>
              <c:numCache>
                <c:formatCode>#,##0.00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200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P05!D26</c:f>
              <c:strCache>
                <c:ptCount val="1"/>
                <c:pt idx="0">
                  <c:v>Consumo c_t</c:v>
                </c:pt>
              </c:strCache>
            </c:strRef>
          </c:tx>
          <c:spPr>
            <a:solidFill>
              <a:srgbClr val="cc8f8e"/>
            </a:solidFill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P05!$B$27:$B$38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strCache>
            </c:strRef>
          </c:cat>
          <c:val>
            <c:numRef>
              <c:f>P05!$D$27:$D$38</c:f>
              <c:numCache>
                <c:formatCode>#,##0.00</c:formatCode>
                <c:ptCount val="12"/>
                <c:pt idx="0">
                  <c:v>103.161258102921</c:v>
                </c:pt>
                <c:pt idx="1">
                  <c:v>103.161258102921</c:v>
                </c:pt>
                <c:pt idx="2">
                  <c:v>103.161258102921</c:v>
                </c:pt>
                <c:pt idx="3">
                  <c:v>103.161258102921</c:v>
                </c:pt>
                <c:pt idx="4">
                  <c:v>103.161258102921</c:v>
                </c:pt>
                <c:pt idx="5">
                  <c:v>103.161258102921</c:v>
                </c:pt>
                <c:pt idx="6">
                  <c:v>103.161258102921</c:v>
                </c:pt>
                <c:pt idx="7">
                  <c:v>103.161258102921</c:v>
                </c:pt>
                <c:pt idx="8">
                  <c:v>103.161258102921</c:v>
                </c:pt>
                <c:pt idx="9">
                  <c:v>103.161258102921</c:v>
                </c:pt>
                <c:pt idx="10">
                  <c:v>103.161258102921</c:v>
                </c:pt>
                <c:pt idx="11">
                  <c:v>103.161258102921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2071088"/>
        <c:axId val="14073767"/>
      </c:lineChart>
      <c:catAx>
        <c:axId val="3207108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073767"/>
        <c:crosses val="autoZero"/>
        <c:auto val="1"/>
        <c:lblAlgn val="ctr"/>
        <c:lblOffset val="100"/>
        <c:noMultiLvlLbl val="0"/>
      </c:catAx>
      <c:valAx>
        <c:axId val="140737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nivel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07108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Demanda de capital: K* decreciente en r (detrás de la curva IS)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P08!D32</c:f>
              <c:strCache>
                <c:ptCount val="1"/>
                <c:pt idx="0">
                  <c:v>K*(r)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circle"/>
            <c:size val="5"/>
            <c:spPr>
              <a:solidFill>
                <a:srgbClr val="98b855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P08!$B$33:$B$43</c:f>
              <c:numCache>
                <c:formatCode>0.00%</c:formatCode>
                <c:ptCount val="1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0.08</c:v>
                </c:pt>
                <c:pt idx="7">
                  <c:v>0.1</c:v>
                </c:pt>
                <c:pt idx="8">
                  <c:v>0.12</c:v>
                </c:pt>
                <c:pt idx="9">
                  <c:v>0.15</c:v>
                </c:pt>
                <c:pt idx="10">
                  <c:v>0.2</c:v>
                </c:pt>
              </c:numCache>
            </c:numRef>
          </c:xVal>
          <c:yVal>
            <c:numRef>
              <c:f>P08!$D$33:$D$43</c:f>
              <c:numCache>
                <c:formatCode>#,##0.00</c:formatCode>
                <c:ptCount val="11"/>
                <c:pt idx="0">
                  <c:v>112.471066584848</c:v>
                </c:pt>
                <c:pt idx="1">
                  <c:v>99.3246755877315</c:v>
                </c:pt>
                <c:pt idx="2">
                  <c:v>88.5925094229598</c:v>
                </c:pt>
                <c:pt idx="3">
                  <c:v>79.6927629974406</c:v>
                </c:pt>
                <c:pt idx="4">
                  <c:v>72.2128157528199</c:v>
                </c:pt>
                <c:pt idx="5">
                  <c:v>65.852648416451</c:v>
                </c:pt>
                <c:pt idx="6">
                  <c:v>55.6542345183167</c:v>
                </c:pt>
                <c:pt idx="7">
                  <c:v>47.8773792996892</c:v>
                </c:pt>
                <c:pt idx="8">
                  <c:v>41.7828406595564</c:v>
                </c:pt>
                <c:pt idx="9">
                  <c:v>34.8086751820549</c:v>
                </c:pt>
                <c:pt idx="10">
                  <c:v>26.8269579527973</c:v>
                </c:pt>
              </c:numCache>
            </c:numRef>
          </c:yVal>
          <c:smooth val="1"/>
        </c:ser>
        <c:axId val="36680578"/>
        <c:axId val="54450618"/>
      </c:scatterChart>
      <c:valAx>
        <c:axId val="3668057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4450618"/>
        <c:crosses val="autoZero"/>
        <c:crossBetween val="midCat"/>
      </c:valAx>
      <c:valAx>
        <c:axId val="5445061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K*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680578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Convergencia gradual del capital (costos de ajuste)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P09!C27</c:f>
              <c:strCache>
                <c:ptCount val="1"/>
                <c:pt idx="0">
                  <c:v>K_t</c:v>
                </c:pt>
              </c:strCache>
            </c:strRef>
          </c:tx>
          <c:spPr>
            <a:solidFill>
              <a:srgbClr val="aa433f"/>
            </a:solidFill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P09!$B$28:$B$52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strCache>
            </c:strRef>
          </c:cat>
          <c:val>
            <c:numRef>
              <c:f>P09!$C$28:$C$52</c:f>
              <c:numCache>
                <c:formatCode>#,##0.00</c:formatCode>
                <c:ptCount val="25"/>
                <c:pt idx="0">
                  <c:v>60</c:v>
                </c:pt>
                <c:pt idx="1">
                  <c:v>61.6617195695191</c:v>
                </c:pt>
                <c:pt idx="2">
                  <c:v>63.1035216194107</c:v>
                </c:pt>
                <c:pt idx="3">
                  <c:v>64.3528048157255</c:v>
                </c:pt>
                <c:pt idx="4">
                  <c:v>65.4340436420486</c:v>
                </c:pt>
                <c:pt idx="5">
                  <c:v>66.3689493828966</c:v>
                </c:pt>
                <c:pt idx="6">
                  <c:v>67.1766774908486</c:v>
                </c:pt>
                <c:pt idx="7">
                  <c:v>67.8740552451625</c:v>
                </c:pt>
                <c:pt idx="8">
                  <c:v>68.4758130194334</c:v>
                </c:pt>
                <c:pt idx="9">
                  <c:v>68.9948088059852</c:v>
                </c:pt>
                <c:pt idx="10">
                  <c:v>69.4422398934141</c:v>
                </c:pt>
                <c:pt idx="11">
                  <c:v>69.8278384263427</c:v>
                </c:pt>
                <c:pt idx="12">
                  <c:v>70.1600494419029</c:v>
                </c:pt>
                <c:pt idx="13">
                  <c:v>70.4461911815965</c:v>
                </c:pt>
                <c:pt idx="14">
                  <c:v>70.6925982298799</c:v>
                </c:pt>
                <c:pt idx="15">
                  <c:v>70.9047484768664</c:v>
                </c:pt>
                <c:pt idx="16">
                  <c:v>71.0873751421071</c:v>
                </c:pt>
                <c:pt idx="17">
                  <c:v>71.2445651988711</c:v>
                </c:pt>
                <c:pt idx="18">
                  <c:v>71.3798455516844</c:v>
                </c:pt>
                <c:pt idx="19">
                  <c:v>71.4962582771859</c:v>
                </c:pt>
                <c:pt idx="20">
                  <c:v>71.5964261622601</c:v>
                </c:pt>
                <c:pt idx="21">
                  <c:v>71.682609679292</c:v>
                </c:pt>
                <c:pt idx="22">
                  <c:v>71.7567564365032</c:v>
                </c:pt>
                <c:pt idx="23">
                  <c:v>71.8205440383989</c:v>
                </c:pt>
                <c:pt idx="24">
                  <c:v>71.875417191611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P09!J27</c:f>
              <c:strCache>
                <c:ptCount val="1"/>
                <c:pt idx="0">
                  <c:v>K*</c:v>
                </c:pt>
              </c:strCache>
            </c:strRef>
          </c:tx>
          <c:spPr>
            <a:solidFill>
              <a:srgbClr val="cc8f8e"/>
            </a:solidFill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P09!$B$28:$B$52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strCache>
            </c:strRef>
          </c:cat>
          <c:val>
            <c:numRef>
              <c:f>P09!$J$28:$J$52</c:f>
              <c:numCache>
                <c:formatCode>#,##0.00</c:formatCode>
                <c:ptCount val="25"/>
                <c:pt idx="0">
                  <c:v>72.2128157528199</c:v>
                </c:pt>
                <c:pt idx="1">
                  <c:v>72.2128157528199</c:v>
                </c:pt>
                <c:pt idx="2">
                  <c:v>72.2128157528199</c:v>
                </c:pt>
                <c:pt idx="3">
                  <c:v>72.2128157528199</c:v>
                </c:pt>
                <c:pt idx="4">
                  <c:v>72.2128157528199</c:v>
                </c:pt>
                <c:pt idx="5">
                  <c:v>72.2128157528199</c:v>
                </c:pt>
                <c:pt idx="6">
                  <c:v>72.2128157528199</c:v>
                </c:pt>
                <c:pt idx="7">
                  <c:v>72.2128157528199</c:v>
                </c:pt>
                <c:pt idx="8">
                  <c:v>72.2128157528199</c:v>
                </c:pt>
                <c:pt idx="9">
                  <c:v>72.2128157528199</c:v>
                </c:pt>
                <c:pt idx="10">
                  <c:v>72.2128157528199</c:v>
                </c:pt>
                <c:pt idx="11">
                  <c:v>72.2128157528199</c:v>
                </c:pt>
                <c:pt idx="12">
                  <c:v>72.2128157528199</c:v>
                </c:pt>
                <c:pt idx="13">
                  <c:v>72.2128157528199</c:v>
                </c:pt>
                <c:pt idx="14">
                  <c:v>72.2128157528199</c:v>
                </c:pt>
                <c:pt idx="15">
                  <c:v>72.2128157528199</c:v>
                </c:pt>
                <c:pt idx="16">
                  <c:v>72.2128157528199</c:v>
                </c:pt>
                <c:pt idx="17">
                  <c:v>72.2128157528199</c:v>
                </c:pt>
                <c:pt idx="18">
                  <c:v>72.2128157528199</c:v>
                </c:pt>
                <c:pt idx="19">
                  <c:v>72.2128157528199</c:v>
                </c:pt>
                <c:pt idx="20">
                  <c:v>72.2128157528199</c:v>
                </c:pt>
                <c:pt idx="21">
                  <c:v>72.2128157528199</c:v>
                </c:pt>
                <c:pt idx="22">
                  <c:v>72.2128157528199</c:v>
                </c:pt>
                <c:pt idx="23">
                  <c:v>72.2128157528199</c:v>
                </c:pt>
                <c:pt idx="24">
                  <c:v>72.2128157528199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8431244"/>
        <c:axId val="95385888"/>
      </c:lineChart>
      <c:catAx>
        <c:axId val="4843124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385888"/>
        <c:crosses val="autoZero"/>
        <c:auto val="1"/>
        <c:lblAlgn val="ctr"/>
        <c:lblOffset val="100"/>
        <c:noMultiLvlLbl val="0"/>
      </c:catAx>
      <c:valAx>
        <c:axId val="953858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4312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Trayectoria de la deuda: r &gt; g explota, r &lt; g converge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P10!C24</c:f>
              <c:strCache>
                <c:ptCount val="1"/>
                <c:pt idx="0">
                  <c:v>b_t  (g)</c:v>
                </c:pt>
              </c:strCache>
            </c:strRef>
          </c:tx>
          <c:spPr>
            <a:solidFill>
              <a:srgbClr val="9d3e3b"/>
            </a:solidFill>
            <a:ln w="47520">
              <a:solidFill>
                <a:srgbClr val="9d3e3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P10!$B$25:$B$40</c:f>
              <c:strCach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strCache>
            </c:strRef>
          </c:cat>
          <c:val>
            <c:numRef>
              <c:f>P10!$C$25:$C$40</c:f>
              <c:numCache>
                <c:formatCode>0.00%</c:formatCode>
                <c:ptCount val="16"/>
                <c:pt idx="0">
                  <c:v>0.6</c:v>
                </c:pt>
                <c:pt idx="1">
                  <c:v>0.601650485436893</c:v>
                </c:pt>
                <c:pt idx="2">
                  <c:v>0.603333019134697</c:v>
                </c:pt>
                <c:pt idx="3">
                  <c:v>0.60504822338974</c:v>
                </c:pt>
                <c:pt idx="4">
                  <c:v>0.606796732581773</c:v>
                </c:pt>
                <c:pt idx="5">
                  <c:v>0.608579193408604</c:v>
                </c:pt>
                <c:pt idx="6">
                  <c:v>0.610396265125276</c:v>
                </c:pt>
                <c:pt idx="7">
                  <c:v>0.612248619787902</c:v>
                </c:pt>
                <c:pt idx="8">
                  <c:v>0.614136942502231</c:v>
                </c:pt>
                <c:pt idx="9">
                  <c:v>0.616061931677031</c:v>
                </c:pt>
                <c:pt idx="10">
                  <c:v>0.61802429928241</c:v>
                </c:pt>
                <c:pt idx="11">
                  <c:v>0.620024771113137</c:v>
                </c:pt>
                <c:pt idx="12">
                  <c:v>0.622064087057081</c:v>
                </c:pt>
                <c:pt idx="13">
                  <c:v>0.624143001368869</c:v>
                </c:pt>
                <c:pt idx="14">
                  <c:v>0.626262282948847</c:v>
                </c:pt>
                <c:pt idx="15">
                  <c:v>0.628422715627465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P10!D24</c:f>
              <c:strCache>
                <c:ptCount val="1"/>
                <c:pt idx="0">
                  <c:v>b_t  (g')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P10!$B$25:$B$40</c:f>
              <c:strCach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strCache>
            </c:strRef>
          </c:cat>
          <c:val>
            <c:numRef>
              <c:f>P10!$D$25:$D$40</c:f>
              <c:numCache>
                <c:formatCode>0.00%</c:formatCode>
                <c:ptCount val="16"/>
                <c:pt idx="0">
                  <c:v>0.6</c:v>
                </c:pt>
                <c:pt idx="1">
                  <c:v>0.584339622641509</c:v>
                </c:pt>
                <c:pt idx="2">
                  <c:v>0.568826984692061</c:v>
                </c:pt>
                <c:pt idx="3">
                  <c:v>0.553460692383646</c:v>
                </c:pt>
                <c:pt idx="4">
                  <c:v>0.538239365097007</c:v>
                </c:pt>
                <c:pt idx="5">
                  <c:v>0.523161635237602</c:v>
                </c:pt>
                <c:pt idx="6">
                  <c:v>0.508226148112719</c:v>
                </c:pt>
                <c:pt idx="7">
                  <c:v>0.493431561809768</c:v>
                </c:pt>
                <c:pt idx="8">
                  <c:v>0.478776547075714</c:v>
                </c:pt>
                <c:pt idx="9">
                  <c:v>0.464259787197641</c:v>
                </c:pt>
                <c:pt idx="10">
                  <c:v>0.449879977884456</c:v>
                </c:pt>
                <c:pt idx="11">
                  <c:v>0.435635827149697</c:v>
                </c:pt>
                <c:pt idx="12">
                  <c:v>0.421526055195454</c:v>
                </c:pt>
                <c:pt idx="13">
                  <c:v>0.407549394297384</c:v>
                </c:pt>
                <c:pt idx="14">
                  <c:v>0.393704588690805</c:v>
                </c:pt>
                <c:pt idx="15">
                  <c:v>0.379990394457873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P10!E24</c:f>
              <c:strCache>
                <c:ptCount val="1"/>
                <c:pt idx="0">
                  <c:v>b* (g)</c:v>
                </c:pt>
              </c:strCache>
            </c:strRef>
          </c:tx>
          <c:spPr>
            <a:solidFill>
              <a:srgbClr val="d4a5a4"/>
            </a:solidFill>
            <a:ln w="47520">
              <a:solidFill>
                <a:srgbClr val="d4a5a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P10!$B$25:$B$40</c:f>
              <c:strCach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strCache>
            </c:strRef>
          </c:cat>
          <c:val>
            <c:numRef>
              <c:f>P10!$E$25:$E$40</c:f>
              <c:numCache>
                <c:formatCode>0.00%</c:formatCode>
                <c:ptCount val="16"/>
                <c:pt idx="0">
                  <c:v>0.515</c:v>
                </c:pt>
                <c:pt idx="1">
                  <c:v>0.515</c:v>
                </c:pt>
                <c:pt idx="2">
                  <c:v>0.515</c:v>
                </c:pt>
                <c:pt idx="3">
                  <c:v>0.515</c:v>
                </c:pt>
                <c:pt idx="4">
                  <c:v>0.515</c:v>
                </c:pt>
                <c:pt idx="5">
                  <c:v>0.515</c:v>
                </c:pt>
                <c:pt idx="6">
                  <c:v>0.515</c:v>
                </c:pt>
                <c:pt idx="7">
                  <c:v>0.515</c:v>
                </c:pt>
                <c:pt idx="8">
                  <c:v>0.515</c:v>
                </c:pt>
                <c:pt idx="9">
                  <c:v>0.515</c:v>
                </c:pt>
                <c:pt idx="10">
                  <c:v>0.515</c:v>
                </c:pt>
                <c:pt idx="11">
                  <c:v>0.515</c:v>
                </c:pt>
                <c:pt idx="12">
                  <c:v>0.515</c:v>
                </c:pt>
                <c:pt idx="13">
                  <c:v>0.515</c:v>
                </c:pt>
                <c:pt idx="14">
                  <c:v>0.515</c:v>
                </c:pt>
                <c:pt idx="15">
                  <c:v>0.515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6980708"/>
        <c:axId val="97481067"/>
      </c:lineChart>
      <c:catAx>
        <c:axId val="269807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481067"/>
        <c:crosses val="autoZero"/>
        <c:auto val="1"/>
        <c:lblAlgn val="ctr"/>
        <c:lblOffset val="100"/>
        <c:noMultiLvlLbl val="0"/>
      </c:catAx>
      <c:valAx>
        <c:axId val="974810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b (% del PIB)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98070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34</xdr:row>
      <xdr:rowOff>0</xdr:rowOff>
    </xdr:from>
    <xdr:to>
      <xdr:col>10</xdr:col>
      <xdr:colOff>105840</xdr:colOff>
      <xdr:row>51</xdr:row>
      <xdr:rowOff>1440</xdr:rowOff>
    </xdr:to>
    <xdr:graphicFrame>
      <xdr:nvGraphicFramePr>
        <xdr:cNvPr id="0" name="Chart 1"/>
        <xdr:cNvGraphicFramePr/>
      </xdr:nvGraphicFramePr>
      <xdr:xfrm>
        <a:off x="6132240" y="7077240"/>
        <a:ext cx="50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28</xdr:row>
      <xdr:rowOff>0</xdr:rowOff>
    </xdr:from>
    <xdr:to>
      <xdr:col>12</xdr:col>
      <xdr:colOff>229320</xdr:colOff>
      <xdr:row>45</xdr:row>
      <xdr:rowOff>1080</xdr:rowOff>
    </xdr:to>
    <xdr:graphicFrame>
      <xdr:nvGraphicFramePr>
        <xdr:cNvPr id="1" name="Chart 1"/>
        <xdr:cNvGraphicFramePr/>
      </xdr:nvGraphicFramePr>
      <xdr:xfrm>
        <a:off x="7119000" y="5877000"/>
        <a:ext cx="53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23</xdr:row>
      <xdr:rowOff>126360</xdr:rowOff>
    </xdr:from>
    <xdr:to>
      <xdr:col>13</xdr:col>
      <xdr:colOff>604800</xdr:colOff>
      <xdr:row>40</xdr:row>
      <xdr:rowOff>15120</xdr:rowOff>
    </xdr:to>
    <xdr:graphicFrame>
      <xdr:nvGraphicFramePr>
        <xdr:cNvPr id="2" name="Chart 1"/>
        <xdr:cNvGraphicFramePr/>
      </xdr:nvGraphicFramePr>
      <xdr:xfrm>
        <a:off x="8105760" y="5391000"/>
        <a:ext cx="53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31</xdr:row>
      <xdr:rowOff>0</xdr:rowOff>
    </xdr:from>
    <xdr:to>
      <xdr:col>12</xdr:col>
      <xdr:colOff>229320</xdr:colOff>
      <xdr:row>47</xdr:row>
      <xdr:rowOff>79560</xdr:rowOff>
    </xdr:to>
    <xdr:graphicFrame>
      <xdr:nvGraphicFramePr>
        <xdr:cNvPr id="3" name="Chart 1"/>
        <xdr:cNvGraphicFramePr/>
      </xdr:nvGraphicFramePr>
      <xdr:xfrm>
        <a:off x="7119000" y="6496200"/>
        <a:ext cx="53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0</xdr:colOff>
      <xdr:row>25</xdr:row>
      <xdr:rowOff>78120</xdr:rowOff>
    </xdr:from>
    <xdr:to>
      <xdr:col>19</xdr:col>
      <xdr:colOff>507600</xdr:colOff>
      <xdr:row>42</xdr:row>
      <xdr:rowOff>79200</xdr:rowOff>
    </xdr:to>
    <xdr:graphicFrame>
      <xdr:nvGraphicFramePr>
        <xdr:cNvPr id="4" name="Chart 1"/>
        <xdr:cNvGraphicFramePr/>
      </xdr:nvGraphicFramePr>
      <xdr:xfrm>
        <a:off x="11677680" y="6019920"/>
        <a:ext cx="53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23</xdr:row>
      <xdr:rowOff>0</xdr:rowOff>
    </xdr:from>
    <xdr:to>
      <xdr:col>13</xdr:col>
      <xdr:colOff>604800</xdr:colOff>
      <xdr:row>38</xdr:row>
      <xdr:rowOff>127440</xdr:rowOff>
    </xdr:to>
    <xdr:graphicFrame>
      <xdr:nvGraphicFramePr>
        <xdr:cNvPr id="5" name="Chart 1"/>
        <xdr:cNvGraphicFramePr/>
      </xdr:nvGraphicFramePr>
      <xdr:xfrm>
        <a:off x="8105760" y="4676760"/>
        <a:ext cx="53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cap07_problemas_numericos.xlsx" TargetMode="External"/><Relationship Id="rId2" Type="http://schemas.openxmlformats.org/officeDocument/2006/relationships/hyperlink" Target="cap07_problemas_numericos.xlsx" TargetMode="External"/><Relationship Id="rId3" Type="http://schemas.openxmlformats.org/officeDocument/2006/relationships/hyperlink" Target="cap07_problemas_numericos.xlsx" TargetMode="External"/><Relationship Id="rId4" Type="http://schemas.openxmlformats.org/officeDocument/2006/relationships/hyperlink" Target="cap07_problemas_numericos.xlsx" TargetMode="External"/><Relationship Id="rId5" Type="http://schemas.openxmlformats.org/officeDocument/2006/relationships/hyperlink" Target="cap07_problemas_numericos.xlsx" TargetMode="External"/><Relationship Id="rId6" Type="http://schemas.openxmlformats.org/officeDocument/2006/relationships/hyperlink" Target="cap07_problemas_numericos.xlsx" TargetMode="External"/><Relationship Id="rId7" Type="http://schemas.openxmlformats.org/officeDocument/2006/relationships/hyperlink" Target="cap07_problemas_numericos.xlsx" TargetMode="External"/><Relationship Id="rId8" Type="http://schemas.openxmlformats.org/officeDocument/2006/relationships/hyperlink" Target="cap07_problemas_numericos.xlsx" TargetMode="External"/><Relationship Id="rId9" Type="http://schemas.openxmlformats.org/officeDocument/2006/relationships/hyperlink" Target="cap07_problemas_numericos.xlsx" TargetMode="External"/><Relationship Id="rId10" Type="http://schemas.openxmlformats.org/officeDocument/2006/relationships/hyperlink" Target="cap07_problemas_numericos.xlsx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D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3" min="3" style="0" width="58"/>
    <col collapsed="false" customWidth="true" hidden="false" outlineLevel="0" max="4" min="4" style="0" width="46"/>
  </cols>
  <sheetData>
    <row r="1" customFormat="false" ht="27.75" hidden="false" customHeight="true" outlineLevel="0" collapsed="false">
      <c r="B1" s="1" t="s">
        <v>0</v>
      </c>
      <c r="C1" s="1"/>
      <c r="D1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5" hidden="false" customHeight="false" outlineLevel="0" collapsed="false">
      <c r="B5" s="3" t="s">
        <v>2</v>
      </c>
      <c r="C5" s="3" t="s">
        <v>3</v>
      </c>
      <c r="D5" s="3" t="s">
        <v>4</v>
      </c>
    </row>
    <row r="6" customFormat="false" ht="15" hidden="false" customHeight="false" outlineLevel="0" collapsed="false">
      <c r="B6" s="4" t="s">
        <v>5</v>
      </c>
      <c r="C6" s="5" t="s">
        <v>6</v>
      </c>
      <c r="D6" s="6" t="s">
        <v>7</v>
      </c>
    </row>
    <row r="7" customFormat="false" ht="15" hidden="false" customHeight="false" outlineLevel="0" collapsed="false">
      <c r="B7" s="4" t="s">
        <v>8</v>
      </c>
      <c r="C7" s="5" t="s">
        <v>9</v>
      </c>
      <c r="D7" s="6" t="s">
        <v>10</v>
      </c>
    </row>
    <row r="8" customFormat="false" ht="15" hidden="false" customHeight="false" outlineLevel="0" collapsed="false">
      <c r="B8" s="4" t="s">
        <v>11</v>
      </c>
      <c r="C8" s="5" t="s">
        <v>12</v>
      </c>
      <c r="D8" s="6" t="s">
        <v>13</v>
      </c>
    </row>
    <row r="9" customFormat="false" ht="15" hidden="false" customHeight="false" outlineLevel="0" collapsed="false">
      <c r="B9" s="4" t="s">
        <v>14</v>
      </c>
      <c r="C9" s="5" t="s">
        <v>15</v>
      </c>
      <c r="D9" s="6" t="s">
        <v>16</v>
      </c>
    </row>
    <row r="10" customFormat="false" ht="15" hidden="false" customHeight="false" outlineLevel="0" collapsed="false">
      <c r="B10" s="4" t="s">
        <v>17</v>
      </c>
      <c r="C10" s="5" t="s">
        <v>18</v>
      </c>
      <c r="D10" s="6" t="s">
        <v>19</v>
      </c>
    </row>
    <row r="11" customFormat="false" ht="15" hidden="false" customHeight="false" outlineLevel="0" collapsed="false">
      <c r="B11" s="4" t="s">
        <v>20</v>
      </c>
      <c r="C11" s="5" t="s">
        <v>21</v>
      </c>
      <c r="D11" s="6" t="s">
        <v>22</v>
      </c>
    </row>
    <row r="12" customFormat="false" ht="15" hidden="false" customHeight="false" outlineLevel="0" collapsed="false">
      <c r="B12" s="4" t="s">
        <v>23</v>
      </c>
      <c r="C12" s="5" t="s">
        <v>24</v>
      </c>
      <c r="D12" s="6" t="s">
        <v>25</v>
      </c>
    </row>
    <row r="13" customFormat="false" ht="15" hidden="false" customHeight="false" outlineLevel="0" collapsed="false">
      <c r="B13" s="4" t="s">
        <v>26</v>
      </c>
      <c r="C13" s="5" t="s">
        <v>27</v>
      </c>
      <c r="D13" s="6" t="s">
        <v>28</v>
      </c>
    </row>
    <row r="14" customFormat="false" ht="15" hidden="false" customHeight="false" outlineLevel="0" collapsed="false">
      <c r="B14" s="4" t="s">
        <v>29</v>
      </c>
      <c r="C14" s="5" t="s">
        <v>30</v>
      </c>
      <c r="D14" s="6" t="s">
        <v>31</v>
      </c>
    </row>
    <row r="15" customFormat="false" ht="15" hidden="false" customHeight="false" outlineLevel="0" collapsed="false">
      <c r="B15" s="4" t="s">
        <v>32</v>
      </c>
      <c r="C15" s="5" t="s">
        <v>33</v>
      </c>
      <c r="D15" s="6" t="s">
        <v>34</v>
      </c>
    </row>
    <row r="17" customFormat="false" ht="15" hidden="false" customHeight="false" outlineLevel="0" collapsed="false">
      <c r="B17" s="7" t="s">
        <v>35</v>
      </c>
    </row>
    <row r="18" customFormat="false" ht="15" hidden="false" customHeight="false" outlineLevel="0" collapsed="false">
      <c r="B18" s="8" t="s">
        <v>36</v>
      </c>
      <c r="C18" s="9" t="s">
        <v>37</v>
      </c>
    </row>
    <row r="19" customFormat="false" ht="15" hidden="false" customHeight="false" outlineLevel="0" collapsed="false">
      <c r="B19" s="10" t="s">
        <v>36</v>
      </c>
      <c r="C19" s="9" t="s">
        <v>38</v>
      </c>
    </row>
    <row r="21" customFormat="false" ht="30" hidden="false" customHeight="true" outlineLevel="0" collapsed="false">
      <c r="B21" s="11" t="s">
        <v>39</v>
      </c>
      <c r="C21" s="11"/>
      <c r="D21" s="11"/>
    </row>
  </sheetData>
  <mergeCells count="3">
    <mergeCell ref="B1:D1"/>
    <mergeCell ref="B3:D3"/>
    <mergeCell ref="B21:D21"/>
  </mergeCells>
  <hyperlinks>
    <hyperlink ref="C6" r:id="rId1" location="P01!A1" display="Restricción presupuestaria intertemporal y el precio del tiempo"/>
    <hyperlink ref="C7" r:id="rId2" location="P02!A1" display="Euler y la solución cerrada con utilidad logarítmica"/>
    <hyperlink ref="C8" r:id="rId3" location="P03!A1" display="¿Sube el ahorro cuando sube la tasa de interés? (CRRA)"/>
    <hyperlink ref="C9" r:id="rId4" location="P04!A1" display="Descomposición de Hicks de un alza de la tasa"/>
    <hyperlink ref="C10" r:id="rId5" location="P05!A1" display="Shocks transitorios, permanentes y anticipados (PIH)"/>
    <hyperlink ref="C11" r:id="rId6" location="P06!A1" display="Equivalencia ricardiana: una rebaja tributaria que no hace nada"/>
    <hyperlink ref="C12" r:id="rId7" location="P07!A1" display="Restricción de liquidez y solución de esquina"/>
    <hyperlink ref="C13" r:id="rId8" location="P08!A1" display="Capital óptimo y costo de uso del capital"/>
    <hyperlink ref="C14" r:id="rId9" location="P09!A1" display="Costos de ajuste y la q de Tobin"/>
    <hyperlink ref="C15" r:id="rId10" location="P10!A1" display="Dinámica de la deuda pública y la carrera entre r y g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277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278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250</v>
      </c>
      <c r="C5" s="14" t="n">
        <v>10</v>
      </c>
    </row>
    <row r="6" customFormat="false" ht="15" hidden="false" customHeight="false" outlineLevel="0" collapsed="false">
      <c r="B6" s="9" t="s">
        <v>251</v>
      </c>
      <c r="C6" s="14" t="n">
        <v>0.3</v>
      </c>
    </row>
    <row r="7" customFormat="false" ht="15" hidden="false" customHeight="false" outlineLevel="0" collapsed="false">
      <c r="B7" s="9" t="s">
        <v>252</v>
      </c>
      <c r="C7" s="15" t="n">
        <v>0.1</v>
      </c>
    </row>
    <row r="8" customFormat="false" ht="15" hidden="false" customHeight="false" outlineLevel="0" collapsed="false">
      <c r="B8" s="9" t="s">
        <v>45</v>
      </c>
      <c r="C8" s="15" t="n">
        <v>0.05</v>
      </c>
    </row>
    <row r="9" customFormat="false" ht="15" hidden="false" customHeight="false" outlineLevel="0" collapsed="false">
      <c r="B9" s="9" t="s">
        <v>279</v>
      </c>
      <c r="C9" s="14" t="n">
        <v>5</v>
      </c>
    </row>
    <row r="11" customFormat="false" ht="15" hidden="false" customHeight="false" outlineLevel="0" collapsed="false">
      <c r="B11" s="13" t="s">
        <v>280</v>
      </c>
      <c r="C11" s="13"/>
      <c r="D11" s="13"/>
      <c r="E11" s="13"/>
      <c r="F11" s="13"/>
      <c r="G11" s="13"/>
      <c r="H11" s="13"/>
      <c r="I11" s="13"/>
      <c r="J11" s="13"/>
    </row>
    <row r="12" customFormat="false" ht="39" hidden="false" customHeight="true" outlineLevel="0" collapsed="false">
      <c r="B12" s="20" t="s">
        <v>281</v>
      </c>
      <c r="C12" s="20"/>
      <c r="D12" s="20"/>
      <c r="E12" s="20"/>
      <c r="F12" s="20"/>
      <c r="G12" s="20"/>
      <c r="H12" s="20"/>
      <c r="I12" s="20"/>
    </row>
    <row r="13" customFormat="false" ht="15" hidden="false" customHeight="false" outlineLevel="0" collapsed="false">
      <c r="B13" s="7" t="s">
        <v>282</v>
      </c>
      <c r="C13" s="17" t="n">
        <f aca="false">($C$6*$C$5/($C$8+$C$7))^(1/(1-$C$6))</f>
        <v>72.2128157528199</v>
      </c>
      <c r="D13" s="16" t="s">
        <v>283</v>
      </c>
    </row>
    <row r="15" customFormat="false" ht="15" hidden="false" customHeight="false" outlineLevel="0" collapsed="false">
      <c r="B15" s="13" t="s">
        <v>284</v>
      </c>
      <c r="C15" s="13"/>
      <c r="D15" s="13"/>
      <c r="E15" s="13"/>
      <c r="F15" s="13"/>
      <c r="G15" s="13"/>
      <c r="H15" s="13"/>
      <c r="I15" s="13"/>
      <c r="J15" s="13"/>
    </row>
    <row r="16" customFormat="false" ht="23.85" hidden="false" customHeight="false" outlineLevel="0" collapsed="false">
      <c r="B16" s="3" t="s">
        <v>285</v>
      </c>
      <c r="C16" s="3" t="s">
        <v>286</v>
      </c>
      <c r="D16" s="3" t="s">
        <v>287</v>
      </c>
      <c r="E16" s="3" t="s">
        <v>288</v>
      </c>
      <c r="F16" s="3" t="s">
        <v>289</v>
      </c>
      <c r="G16" s="3" t="s">
        <v>290</v>
      </c>
    </row>
    <row r="17" customFormat="false" ht="15" hidden="false" customHeight="false" outlineLevel="0" collapsed="false">
      <c r="B17" s="14" t="n">
        <v>60</v>
      </c>
      <c r="C17" s="21" t="n">
        <f aca="false">$C$6*$C$5*B17^($C$6-1)</f>
        <v>0.170771494618988</v>
      </c>
      <c r="D17" s="27" t="n">
        <f aca="false">C17/($C$8+$C$7)</f>
        <v>1.13847663079325</v>
      </c>
      <c r="E17" s="23" t="n">
        <f aca="false">(D17-1)/$C$9</f>
        <v>0.0276953261586508</v>
      </c>
      <c r="F17" s="32" t="n">
        <f aca="false">E17*B17</f>
        <v>1.66171956951905</v>
      </c>
      <c r="G17" s="22" t="str">
        <f aca="false">IF(D17&gt;1.0000001,"q &gt; 1: invierte",IF(D17&lt;0.9999999,"q &lt; 1: desinvierte","q = 1: K = K*"))</f>
        <v>q &gt; 1: invierte</v>
      </c>
    </row>
    <row r="18" customFormat="false" ht="15" hidden="false" customHeight="false" outlineLevel="0" collapsed="false">
      <c r="B18" s="18" t="n">
        <f aca="false">$C$13</f>
        <v>72.2128157528199</v>
      </c>
      <c r="C18" s="21" t="n">
        <f aca="false">$C$6*$C$5*B18^($C$6-1)</f>
        <v>0.15</v>
      </c>
      <c r="D18" s="27" t="n">
        <f aca="false">C18/($C$8+$C$7)</f>
        <v>1</v>
      </c>
      <c r="E18" s="23" t="n">
        <f aca="false">(D18-1)/$C$9</f>
        <v>0</v>
      </c>
      <c r="F18" s="32" t="n">
        <f aca="false">E18*B18</f>
        <v>0</v>
      </c>
      <c r="G18" s="22" t="str">
        <f aca="false">IF(D18&gt;1.0000001,"q &gt; 1: invierte",IF(D18&lt;0.9999999,"q &lt; 1: desinvierte","q = 1: K = K*"))</f>
        <v>q = 1: K = K*</v>
      </c>
    </row>
    <row r="19" customFormat="false" ht="15" hidden="false" customHeight="false" outlineLevel="0" collapsed="false">
      <c r="B19" s="14" t="n">
        <v>100</v>
      </c>
      <c r="C19" s="21" t="n">
        <f aca="false">$C$6*$C$5*B19^($C$6-1)</f>
        <v>0.119432151166049</v>
      </c>
      <c r="D19" s="27" t="n">
        <f aca="false">C19/($C$8+$C$7)</f>
        <v>0.796214341106995</v>
      </c>
      <c r="E19" s="23" t="n">
        <f aca="false">(D19-1)/$C$9</f>
        <v>-0.0407571317786011</v>
      </c>
      <c r="F19" s="32" t="n">
        <f aca="false">E19*B19</f>
        <v>-4.07571317786011</v>
      </c>
      <c r="G19" s="22" t="str">
        <f aca="false">IF(D19&gt;1.0000001,"q &gt; 1: invierte",IF(D19&lt;0.9999999,"q &lt; 1: desinvierte","q = 1: K = K*"))</f>
        <v>q &lt; 1: desinvierte</v>
      </c>
    </row>
    <row r="21" customFormat="false" ht="15" hidden="false" customHeight="false" outlineLevel="0" collapsed="false">
      <c r="B21" s="9" t="s">
        <v>291</v>
      </c>
      <c r="C21" s="18" t="n">
        <f aca="false">$C$13-60</f>
        <v>12.2128157528199</v>
      </c>
      <c r="D21" s="16" t="s">
        <v>292</v>
      </c>
    </row>
    <row r="22" customFormat="false" ht="25.5" hidden="false" customHeight="true" outlineLevel="0" collapsed="false">
      <c r="B22" s="20" t="s">
        <v>293</v>
      </c>
      <c r="C22" s="20"/>
      <c r="D22" s="20"/>
      <c r="E22" s="20"/>
      <c r="F22" s="20"/>
      <c r="G22" s="20"/>
      <c r="H22" s="20"/>
      <c r="I22" s="20"/>
    </row>
    <row r="24" customFormat="false" ht="15" hidden="false" customHeight="false" outlineLevel="0" collapsed="false">
      <c r="B24" s="13" t="s">
        <v>294</v>
      </c>
      <c r="C24" s="13"/>
      <c r="D24" s="13"/>
      <c r="E24" s="13"/>
      <c r="F24" s="13"/>
      <c r="G24" s="13"/>
      <c r="H24" s="13"/>
      <c r="I24" s="13"/>
      <c r="J24" s="13"/>
    </row>
    <row r="25" customFormat="false" ht="39" hidden="false" customHeight="true" outlineLevel="0" collapsed="false">
      <c r="B25" s="20" t="s">
        <v>295</v>
      </c>
      <c r="C25" s="20"/>
      <c r="D25" s="20"/>
      <c r="E25" s="20"/>
      <c r="F25" s="20"/>
      <c r="G25" s="20"/>
      <c r="H25" s="20"/>
      <c r="I25" s="20"/>
    </row>
    <row r="26" customFormat="false" ht="15" hidden="false" customHeight="false" outlineLevel="0" collapsed="false">
      <c r="B26" s="9" t="s">
        <v>296</v>
      </c>
      <c r="C26" s="14" t="n">
        <v>60</v>
      </c>
    </row>
    <row r="27" customFormat="false" ht="15" hidden="false" customHeight="false" outlineLevel="0" collapsed="false">
      <c r="B27" s="3" t="s">
        <v>174</v>
      </c>
      <c r="C27" s="3" t="s">
        <v>297</v>
      </c>
      <c r="D27" s="3" t="s">
        <v>298</v>
      </c>
      <c r="E27" s="3" t="s">
        <v>299</v>
      </c>
      <c r="F27" s="3" t="s">
        <v>300</v>
      </c>
      <c r="G27" s="3" t="s">
        <v>301</v>
      </c>
      <c r="H27" s="3" t="s">
        <v>302</v>
      </c>
      <c r="I27" s="3" t="s">
        <v>303</v>
      </c>
      <c r="J27" s="38" t="s">
        <v>259</v>
      </c>
    </row>
    <row r="28" customFormat="false" ht="15" hidden="false" customHeight="false" outlineLevel="0" collapsed="false">
      <c r="B28" s="31" t="n">
        <v>0</v>
      </c>
      <c r="C28" s="18" t="n">
        <f aca="false">$C$26</f>
        <v>60</v>
      </c>
      <c r="D28" s="21" t="n">
        <f aca="false">$C$6*$C$5*C28^($C$6-1)</f>
        <v>0.170771494618988</v>
      </c>
      <c r="E28" s="21" t="n">
        <f aca="false">D28/($C$8+$C$7)</f>
        <v>1.13847663079325</v>
      </c>
      <c r="F28" s="23" t="n">
        <f aca="false">(E28-1)/$C$9</f>
        <v>0.0276953261586508</v>
      </c>
      <c r="G28" s="19" t="n">
        <f aca="false">F28*C28</f>
        <v>1.66171956951905</v>
      </c>
      <c r="H28" s="18" t="n">
        <f aca="false">$C$13-C28</f>
        <v>12.2128157528199</v>
      </c>
      <c r="I28" s="19" t="n">
        <f aca="false">G28+$C$7*C28</f>
        <v>7.66171956951905</v>
      </c>
      <c r="J28" s="39" t="n">
        <f aca="false">$C$13</f>
        <v>72.2128157528199</v>
      </c>
    </row>
    <row r="29" customFormat="false" ht="15" hidden="false" customHeight="false" outlineLevel="0" collapsed="false">
      <c r="B29" s="31" t="n">
        <v>1</v>
      </c>
      <c r="C29" s="18" t="n">
        <f aca="false">C28+G28</f>
        <v>61.6617195695191</v>
      </c>
      <c r="D29" s="21" t="n">
        <f aca="false">$C$6*$C$5*C29^($C$6-1)</f>
        <v>0.167536837197665</v>
      </c>
      <c r="E29" s="21" t="n">
        <f aca="false">D29/($C$8+$C$7)</f>
        <v>1.11691224798443</v>
      </c>
      <c r="F29" s="23" t="n">
        <f aca="false">(E29-1)/$C$9</f>
        <v>0.0233824495968861</v>
      </c>
      <c r="G29" s="19" t="n">
        <f aca="false">F29*C29</f>
        <v>1.4418020498916</v>
      </c>
      <c r="H29" s="18" t="n">
        <f aca="false">$C$13-C29</f>
        <v>10.5510961833008</v>
      </c>
      <c r="I29" s="19" t="n">
        <f aca="false">G29+$C$7*C29</f>
        <v>7.60797400684351</v>
      </c>
      <c r="J29" s="39" t="n">
        <f aca="false">$C$13</f>
        <v>72.2128157528199</v>
      </c>
    </row>
    <row r="30" customFormat="false" ht="15" hidden="false" customHeight="false" outlineLevel="0" collapsed="false">
      <c r="B30" s="31" t="n">
        <v>2</v>
      </c>
      <c r="C30" s="18" t="n">
        <f aca="false">C29+G29</f>
        <v>63.1035216194107</v>
      </c>
      <c r="D30" s="21" t="n">
        <f aca="false">$C$6*$C$5*C30^($C$6-1)</f>
        <v>0.164848020731507</v>
      </c>
      <c r="E30" s="21" t="n">
        <f aca="false">D30/($C$8+$C$7)</f>
        <v>1.09898680487671</v>
      </c>
      <c r="F30" s="23" t="n">
        <f aca="false">(E30-1)/$C$9</f>
        <v>0.0197973609753429</v>
      </c>
      <c r="G30" s="19" t="n">
        <f aca="false">F30*C30</f>
        <v>1.24928319631483</v>
      </c>
      <c r="H30" s="18" t="n">
        <f aca="false">$C$13-C30</f>
        <v>9.10929413340922</v>
      </c>
      <c r="I30" s="19" t="n">
        <f aca="false">G30+$C$7*C30</f>
        <v>7.55963535825589</v>
      </c>
      <c r="J30" s="39" t="n">
        <f aca="false">$C$13</f>
        <v>72.2128157528199</v>
      </c>
    </row>
    <row r="31" customFormat="false" ht="15" hidden="false" customHeight="false" outlineLevel="0" collapsed="false">
      <c r="B31" s="31" t="n">
        <v>3</v>
      </c>
      <c r="C31" s="18" t="n">
        <f aca="false">C30+G30</f>
        <v>64.3528048157255</v>
      </c>
      <c r="D31" s="21" t="n">
        <f aca="false">$C$6*$C$5*C31^($C$6-1)</f>
        <v>0.162601301871215</v>
      </c>
      <c r="E31" s="21" t="n">
        <f aca="false">D31/($C$8+$C$7)</f>
        <v>1.08400867914143</v>
      </c>
      <c r="F31" s="23" t="n">
        <f aca="false">(E31-1)/$C$9</f>
        <v>0.0168017358282866</v>
      </c>
      <c r="G31" s="19" t="n">
        <f aca="false">F31*C31</f>
        <v>1.08123882632311</v>
      </c>
      <c r="H31" s="18" t="n">
        <f aca="false">$C$13-C31</f>
        <v>7.8600109370944</v>
      </c>
      <c r="I31" s="19" t="n">
        <f aca="false">G31+$C$7*C31</f>
        <v>7.51651930789566</v>
      </c>
      <c r="J31" s="39" t="n">
        <f aca="false">$C$13</f>
        <v>72.2128157528199</v>
      </c>
    </row>
    <row r="32" customFormat="false" ht="15" hidden="false" customHeight="false" outlineLevel="0" collapsed="false">
      <c r="B32" s="31" t="n">
        <v>4</v>
      </c>
      <c r="C32" s="18" t="n">
        <f aca="false">C31+G31</f>
        <v>65.4340436420486</v>
      </c>
      <c r="D32" s="21" t="n">
        <f aca="false">$C$6*$C$5*C32^($C$6-1)</f>
        <v>0.160715818045294</v>
      </c>
      <c r="E32" s="21" t="n">
        <f aca="false">D32/($C$8+$C$7)</f>
        <v>1.07143878696862</v>
      </c>
      <c r="F32" s="23" t="n">
        <f aca="false">(E32-1)/$C$9</f>
        <v>0.0142877573937247</v>
      </c>
      <c r="G32" s="19" t="n">
        <f aca="false">F32*C32</f>
        <v>0.934905740847981</v>
      </c>
      <c r="H32" s="18" t="n">
        <f aca="false">$C$13-C32</f>
        <v>6.77877211077129</v>
      </c>
      <c r="I32" s="19" t="n">
        <f aca="false">G32+$C$7*C32</f>
        <v>7.47831010505284</v>
      </c>
      <c r="J32" s="39" t="n">
        <f aca="false">$C$13</f>
        <v>72.2128157528199</v>
      </c>
    </row>
    <row r="33" customFormat="false" ht="15" hidden="false" customHeight="false" outlineLevel="0" collapsed="false">
      <c r="B33" s="31" t="n">
        <v>5</v>
      </c>
      <c r="C33" s="18" t="n">
        <f aca="false">C32+G32</f>
        <v>66.3689493828966</v>
      </c>
      <c r="D33" s="21" t="n">
        <f aca="false">$C$6*$C$5*C33^($C$6-1)</f>
        <v>0.159127703340143</v>
      </c>
      <c r="E33" s="21" t="n">
        <f aca="false">D33/($C$8+$C$7)</f>
        <v>1.06085135560095</v>
      </c>
      <c r="F33" s="23" t="n">
        <f aca="false">(E33-1)/$C$9</f>
        <v>0.0121702711201905</v>
      </c>
      <c r="G33" s="19" t="n">
        <f aca="false">F33*C33</f>
        <v>0.807728107952051</v>
      </c>
      <c r="H33" s="18" t="n">
        <f aca="false">$C$13-C33</f>
        <v>5.84386636992331</v>
      </c>
      <c r="I33" s="19" t="n">
        <f aca="false">G33+$C$7*C33</f>
        <v>7.44462304624171</v>
      </c>
      <c r="J33" s="39" t="n">
        <f aca="false">$C$13</f>
        <v>72.2128157528199</v>
      </c>
    </row>
    <row r="34" customFormat="false" ht="15" hidden="false" customHeight="false" outlineLevel="0" collapsed="false">
      <c r="B34" s="31" t="n">
        <v>6</v>
      </c>
      <c r="C34" s="18" t="n">
        <f aca="false">C33+G33</f>
        <v>67.1766774908486</v>
      </c>
      <c r="D34" s="21" t="n">
        <f aca="false">$C$6*$C$5*C34^($C$6-1)</f>
        <v>0.157785936061019</v>
      </c>
      <c r="E34" s="21" t="n">
        <f aca="false">D34/($C$8+$C$7)</f>
        <v>1.05190624040679</v>
      </c>
      <c r="F34" s="23" t="n">
        <f aca="false">(E34-1)/$C$9</f>
        <v>0.0103812480813582</v>
      </c>
      <c r="G34" s="19" t="n">
        <f aca="false">F34*C34</f>
        <v>0.69737775431389</v>
      </c>
      <c r="H34" s="18" t="n">
        <f aca="false">$C$13-C34</f>
        <v>5.03613826197126</v>
      </c>
      <c r="I34" s="19" t="n">
        <f aca="false">G34+$C$7*C34</f>
        <v>7.41504550339875</v>
      </c>
      <c r="J34" s="39" t="n">
        <f aca="false">$C$13</f>
        <v>72.2128157528199</v>
      </c>
    </row>
    <row r="35" customFormat="false" ht="15" hidden="false" customHeight="false" outlineLevel="0" collapsed="false">
      <c r="B35" s="31" t="n">
        <v>7</v>
      </c>
      <c r="C35" s="18" t="n">
        <f aca="false">C34+G34</f>
        <v>67.8740552451625</v>
      </c>
      <c r="D35" s="21" t="n">
        <f aca="false">$C$6*$C$5*C35^($C$6-1)</f>
        <v>0.156649349726829</v>
      </c>
      <c r="E35" s="21" t="n">
        <f aca="false">D35/($C$8+$C$7)</f>
        <v>1.04432899817886</v>
      </c>
      <c r="F35" s="23" t="n">
        <f aca="false">(E35-1)/$C$9</f>
        <v>0.0088657996357719</v>
      </c>
      <c r="G35" s="19" t="n">
        <f aca="false">F35*C35</f>
        <v>0.601757774270924</v>
      </c>
      <c r="H35" s="18" t="n">
        <f aca="false">$C$13-C35</f>
        <v>4.33876050765737</v>
      </c>
      <c r="I35" s="19" t="n">
        <f aca="false">G35+$C$7*C35</f>
        <v>7.38916329878717</v>
      </c>
      <c r="J35" s="39" t="n">
        <f aca="false">$C$13</f>
        <v>72.2128157528199</v>
      </c>
    </row>
    <row r="36" customFormat="false" ht="15" hidden="false" customHeight="false" outlineLevel="0" collapsed="false">
      <c r="B36" s="31" t="n">
        <v>8</v>
      </c>
      <c r="C36" s="18" t="n">
        <f aca="false">C35+G35</f>
        <v>68.4758130194334</v>
      </c>
      <c r="D36" s="21" t="n">
        <f aca="false">$C$6*$C$5*C36^($C$6-1)</f>
        <v>0.155684442765264</v>
      </c>
      <c r="E36" s="21" t="n">
        <f aca="false">D36/($C$8+$C$7)</f>
        <v>1.03789628510176</v>
      </c>
      <c r="F36" s="23" t="n">
        <f aca="false">(E36-1)/$C$9</f>
        <v>0.00757925702035145</v>
      </c>
      <c r="G36" s="19" t="n">
        <f aca="false">F36*C36</f>
        <v>0.518995786551814</v>
      </c>
      <c r="H36" s="18" t="n">
        <f aca="false">$C$13-C36</f>
        <v>3.73700273338645</v>
      </c>
      <c r="I36" s="19" t="n">
        <f aca="false">G36+$C$7*C36</f>
        <v>7.36657708849516</v>
      </c>
      <c r="J36" s="39" t="n">
        <f aca="false">$C$13</f>
        <v>72.2128157528199</v>
      </c>
    </row>
    <row r="37" customFormat="false" ht="15" hidden="false" customHeight="false" outlineLevel="0" collapsed="false">
      <c r="B37" s="31" t="n">
        <v>9</v>
      </c>
      <c r="C37" s="18" t="n">
        <f aca="false">C36+G36</f>
        <v>68.9948088059852</v>
      </c>
      <c r="D37" s="21" t="n">
        <f aca="false">$C$6*$C$5*C37^($C$6-1)</f>
        <v>0.154863747307646</v>
      </c>
      <c r="E37" s="21" t="n">
        <f aca="false">D37/($C$8+$C$7)</f>
        <v>1.03242498205097</v>
      </c>
      <c r="F37" s="23" t="n">
        <f aca="false">(E37-1)/$C$9</f>
        <v>0.00648499641019491</v>
      </c>
      <c r="G37" s="19" t="n">
        <f aca="false">F37*C37</f>
        <v>0.447431087428899</v>
      </c>
      <c r="H37" s="18" t="n">
        <f aca="false">$C$13-C37</f>
        <v>3.21800694683463</v>
      </c>
      <c r="I37" s="19" t="n">
        <f aca="false">G37+$C$7*C37</f>
        <v>7.34691196802742</v>
      </c>
      <c r="J37" s="39" t="n">
        <f aca="false">$C$13</f>
        <v>72.2128157528199</v>
      </c>
    </row>
    <row r="38" customFormat="false" ht="15" hidden="false" customHeight="false" outlineLevel="0" collapsed="false">
      <c r="B38" s="31" t="n">
        <v>10</v>
      </c>
      <c r="C38" s="18" t="n">
        <f aca="false">C37+G37</f>
        <v>69.4422398934141</v>
      </c>
      <c r="D38" s="21" t="n">
        <f aca="false">$C$6*$C$5*C38^($C$6-1)</f>
        <v>0.154164596362968</v>
      </c>
      <c r="E38" s="21" t="n">
        <f aca="false">D38/($C$8+$C$7)</f>
        <v>1.02776397575312</v>
      </c>
      <c r="F38" s="23" t="n">
        <f aca="false">(E38-1)/$C$9</f>
        <v>0.00555279515062375</v>
      </c>
      <c r="G38" s="19" t="n">
        <f aca="false">F38*C38</f>
        <v>0.385598532928601</v>
      </c>
      <c r="H38" s="18" t="n">
        <f aca="false">$C$13-C38</f>
        <v>2.77057585940574</v>
      </c>
      <c r="I38" s="19" t="n">
        <f aca="false">G38+$C$7*C38</f>
        <v>7.32982252227002</v>
      </c>
      <c r="J38" s="39" t="n">
        <f aca="false">$C$13</f>
        <v>72.2128157528199</v>
      </c>
    </row>
    <row r="39" customFormat="false" ht="15" hidden="false" customHeight="false" outlineLevel="0" collapsed="false">
      <c r="B39" s="31" t="n">
        <v>11</v>
      </c>
      <c r="C39" s="18" t="n">
        <f aca="false">C38+G38</f>
        <v>69.8278384263427</v>
      </c>
      <c r="D39" s="21" t="n">
        <f aca="false">$C$6*$C$5*C39^($C$6-1)</f>
        <v>0.153568179500973</v>
      </c>
      <c r="E39" s="21" t="n">
        <f aca="false">D39/($C$8+$C$7)</f>
        <v>1.02378786333982</v>
      </c>
      <c r="F39" s="23" t="n">
        <f aca="false">(E39-1)/$C$9</f>
        <v>0.00475757266796442</v>
      </c>
      <c r="G39" s="19" t="n">
        <f aca="false">F39*C39</f>
        <v>0.332211015560204</v>
      </c>
      <c r="H39" s="18" t="n">
        <f aca="false">$C$13-C39</f>
        <v>2.38497732647714</v>
      </c>
      <c r="I39" s="19" t="n">
        <f aca="false">G39+$C$7*C39</f>
        <v>7.31499485819448</v>
      </c>
      <c r="J39" s="39" t="n">
        <f aca="false">$C$13</f>
        <v>72.2128157528199</v>
      </c>
    </row>
    <row r="40" customFormat="false" ht="15" hidden="false" customHeight="false" outlineLevel="0" collapsed="false">
      <c r="B40" s="31" t="n">
        <v>12</v>
      </c>
      <c r="C40" s="18" t="n">
        <f aca="false">C39+G39</f>
        <v>70.1600494419029</v>
      </c>
      <c r="D40" s="21" t="n">
        <f aca="false">$C$6*$C$5*C40^($C$6-1)</f>
        <v>0.153058810626237</v>
      </c>
      <c r="E40" s="21" t="n">
        <f aca="false">D40/($C$8+$C$7)</f>
        <v>1.02039207084158</v>
      </c>
      <c r="F40" s="23" t="n">
        <f aca="false">(E40-1)/$C$9</f>
        <v>0.00407841416831571</v>
      </c>
      <c r="G40" s="19" t="n">
        <f aca="false">F40*C40</f>
        <v>0.286141739693588</v>
      </c>
      <c r="H40" s="18" t="n">
        <f aca="false">$C$13-C40</f>
        <v>2.05276631091694</v>
      </c>
      <c r="I40" s="19" t="n">
        <f aca="false">G40+$C$7*C40</f>
        <v>7.30214668388388</v>
      </c>
      <c r="J40" s="39" t="n">
        <f aca="false">$C$13</f>
        <v>72.2128157528199</v>
      </c>
    </row>
    <row r="41" customFormat="false" ht="15" hidden="false" customHeight="false" outlineLevel="0" collapsed="false">
      <c r="B41" s="31" t="n">
        <v>13</v>
      </c>
      <c r="C41" s="18" t="n">
        <f aca="false">C40+G40</f>
        <v>70.4461911815965</v>
      </c>
      <c r="D41" s="21" t="n">
        <f aca="false">$C$6*$C$5*C41^($C$6-1)</f>
        <v>0.152623353840893</v>
      </c>
      <c r="E41" s="21" t="n">
        <f aca="false">D41/($C$8+$C$7)</f>
        <v>1.01748902560595</v>
      </c>
      <c r="F41" s="23" t="n">
        <f aca="false">(E41-1)/$C$9</f>
        <v>0.0034978051211906</v>
      </c>
      <c r="G41" s="19" t="n">
        <f aca="false">F41*C41</f>
        <v>0.24640704828336</v>
      </c>
      <c r="H41" s="18" t="n">
        <f aca="false">$C$13-C41</f>
        <v>1.76662457122335</v>
      </c>
      <c r="I41" s="19" t="n">
        <f aca="false">G41+$C$7*C41</f>
        <v>7.29102616644301</v>
      </c>
      <c r="J41" s="39" t="n">
        <f aca="false">$C$13</f>
        <v>72.2128157528199</v>
      </c>
    </row>
    <row r="42" customFormat="false" ht="15" hidden="false" customHeight="false" outlineLevel="0" collapsed="false">
      <c r="B42" s="31" t="n">
        <v>14</v>
      </c>
      <c r="C42" s="18" t="n">
        <f aca="false">C41+G41</f>
        <v>70.6925982298799</v>
      </c>
      <c r="D42" s="21" t="n">
        <f aca="false">$C$6*$C$5*C42^($C$6-1)</f>
        <v>0.152250768669196</v>
      </c>
      <c r="E42" s="21" t="n">
        <f aca="false">D42/($C$8+$C$7)</f>
        <v>1.01500512446131</v>
      </c>
      <c r="F42" s="23" t="n">
        <f aca="false">(E42-1)/$C$9</f>
        <v>0.00300102489226126</v>
      </c>
      <c r="G42" s="19" t="n">
        <f aca="false">F42*C42</f>
        <v>0.212150246986494</v>
      </c>
      <c r="H42" s="18" t="n">
        <f aca="false">$C$13-C42</f>
        <v>1.52021752293999</v>
      </c>
      <c r="I42" s="19" t="n">
        <f aca="false">G42+$C$7*C42</f>
        <v>7.28141006997448</v>
      </c>
      <c r="J42" s="39" t="n">
        <f aca="false">$C$13</f>
        <v>72.2128157528199</v>
      </c>
    </row>
    <row r="43" customFormat="false" ht="15" hidden="false" customHeight="false" outlineLevel="0" collapsed="false">
      <c r="B43" s="31" t="n">
        <v>15</v>
      </c>
      <c r="C43" s="18" t="n">
        <f aca="false">C42+G42</f>
        <v>70.9047484768664</v>
      </c>
      <c r="D43" s="21" t="n">
        <f aca="false">$C$6*$C$5*C43^($C$6-1)</f>
        <v>0.151931746489098</v>
      </c>
      <c r="E43" s="21" t="n">
        <f aca="false">D43/($C$8+$C$7)</f>
        <v>1.01287830992732</v>
      </c>
      <c r="F43" s="23" t="n">
        <f aca="false">(E43-1)/$C$9</f>
        <v>0.00257566198546404</v>
      </c>
      <c r="G43" s="19" t="n">
        <f aca="false">F43*C43</f>
        <v>0.182626665240754</v>
      </c>
      <c r="H43" s="18" t="n">
        <f aca="false">$C$13-C43</f>
        <v>1.30806727595349</v>
      </c>
      <c r="I43" s="19" t="n">
        <f aca="false">G43+$C$7*C43</f>
        <v>7.27310151292739</v>
      </c>
      <c r="J43" s="39" t="n">
        <f aca="false">$C$13</f>
        <v>72.2128157528199</v>
      </c>
    </row>
    <row r="44" customFormat="false" ht="15" hidden="false" customHeight="false" outlineLevel="0" collapsed="false">
      <c r="B44" s="31" t="n">
        <v>16</v>
      </c>
      <c r="C44" s="18" t="n">
        <f aca="false">C43+G43</f>
        <v>71.0873751421071</v>
      </c>
      <c r="D44" s="21" t="n">
        <f aca="false">$C$6*$C$5*C44^($C$6-1)</f>
        <v>0.15165841743822</v>
      </c>
      <c r="E44" s="21" t="n">
        <f aca="false">D44/($C$8+$C$7)</f>
        <v>1.0110561162548</v>
      </c>
      <c r="F44" s="23" t="n">
        <f aca="false">(E44-1)/$C$9</f>
        <v>0.00221122325095999</v>
      </c>
      <c r="G44" s="19" t="n">
        <f aca="false">F44*C44</f>
        <v>0.157190056763943</v>
      </c>
      <c r="H44" s="18" t="n">
        <f aca="false">$C$13-C44</f>
        <v>1.12544061071274</v>
      </c>
      <c r="I44" s="19" t="n">
        <f aca="false">G44+$C$7*C44</f>
        <v>7.26592757097466</v>
      </c>
      <c r="J44" s="39" t="n">
        <f aca="false">$C$13</f>
        <v>72.2128157528199</v>
      </c>
    </row>
    <row r="45" customFormat="false" ht="15" hidden="false" customHeight="false" outlineLevel="0" collapsed="false">
      <c r="B45" s="31" t="n">
        <v>17</v>
      </c>
      <c r="C45" s="18" t="n">
        <f aca="false">C44+G44</f>
        <v>71.2445651988711</v>
      </c>
      <c r="D45" s="21" t="n">
        <f aca="false">$C$6*$C$5*C45^($C$6-1)</f>
        <v>0.151424112342139</v>
      </c>
      <c r="E45" s="21" t="n">
        <f aca="false">D45/($C$8+$C$7)</f>
        <v>1.00949408228093</v>
      </c>
      <c r="F45" s="23" t="n">
        <f aca="false">(E45-1)/$C$9</f>
        <v>0.00189881645618506</v>
      </c>
      <c r="G45" s="19" t="n">
        <f aca="false">F45*C45</f>
        <v>0.135280352813366</v>
      </c>
      <c r="H45" s="18" t="n">
        <f aca="false">$C$13-C45</f>
        <v>0.968250553948806</v>
      </c>
      <c r="I45" s="19" t="n">
        <f aca="false">G45+$C$7*C45</f>
        <v>7.25973687270047</v>
      </c>
      <c r="J45" s="39" t="n">
        <f aca="false">$C$13</f>
        <v>72.2128157528199</v>
      </c>
    </row>
    <row r="46" customFormat="false" ht="15" hidden="false" customHeight="false" outlineLevel="0" collapsed="false">
      <c r="B46" s="31" t="n">
        <v>18</v>
      </c>
      <c r="C46" s="18" t="n">
        <f aca="false">C45+G45</f>
        <v>71.3798455516844</v>
      </c>
      <c r="D46" s="21" t="n">
        <f aca="false">$C$6*$C$5*C46^($C$6-1)</f>
        <v>0.151223168016844</v>
      </c>
      <c r="E46" s="21" t="n">
        <f aca="false">D46/($C$8+$C$7)</f>
        <v>1.00815445344563</v>
      </c>
      <c r="F46" s="23" t="n">
        <f aca="false">(E46-1)/$C$9</f>
        <v>0.0016308906891259</v>
      </c>
      <c r="G46" s="19" t="n">
        <f aca="false">F46*C46</f>
        <v>0.116412725501487</v>
      </c>
      <c r="H46" s="18" t="n">
        <f aca="false">$C$13-C46</f>
        <v>0.832970201135439</v>
      </c>
      <c r="I46" s="19" t="n">
        <f aca="false">G46+$C$7*C46</f>
        <v>7.25439728066993</v>
      </c>
      <c r="J46" s="39" t="n">
        <f aca="false">$C$13</f>
        <v>72.2128157528199</v>
      </c>
    </row>
    <row r="47" customFormat="false" ht="15" hidden="false" customHeight="false" outlineLevel="0" collapsed="false">
      <c r="B47" s="31" t="n">
        <v>19</v>
      </c>
      <c r="C47" s="18" t="n">
        <f aca="false">C46+G46</f>
        <v>71.4962582771859</v>
      </c>
      <c r="D47" s="21" t="n">
        <f aca="false">$C$6*$C$5*C47^($C$6-1)</f>
        <v>0.151050767069717</v>
      </c>
      <c r="E47" s="21" t="n">
        <f aca="false">D47/($C$8+$C$7)</f>
        <v>1.00700511379811</v>
      </c>
      <c r="F47" s="23" t="n">
        <f aca="false">(E47-1)/$C$9</f>
        <v>0.00140102275962293</v>
      </c>
      <c r="G47" s="19" t="n">
        <f aca="false">F47*C47</f>
        <v>0.100167885074217</v>
      </c>
      <c r="H47" s="18" t="n">
        <f aca="false">$C$13-C47</f>
        <v>0.716557475633948</v>
      </c>
      <c r="I47" s="19" t="n">
        <f aca="false">G47+$C$7*C47</f>
        <v>7.24979371279281</v>
      </c>
      <c r="J47" s="39" t="n">
        <f aca="false">$C$13</f>
        <v>72.2128157528199</v>
      </c>
    </row>
    <row r="48" customFormat="false" ht="15" hidden="false" customHeight="false" outlineLevel="0" collapsed="false">
      <c r="B48" s="31" t="n">
        <v>20</v>
      </c>
      <c r="C48" s="18" t="n">
        <f aca="false">C47+G47</f>
        <v>71.5964261622601</v>
      </c>
      <c r="D48" s="21" t="n">
        <f aca="false">$C$6*$C$5*C48^($C$6-1)</f>
        <v>0.150902805366673</v>
      </c>
      <c r="E48" s="21" t="n">
        <f aca="false">D48/($C$8+$C$7)</f>
        <v>1.00601870244449</v>
      </c>
      <c r="F48" s="23" t="n">
        <f aca="false">(E48-1)/$C$9</f>
        <v>0.00120374048889724</v>
      </c>
      <c r="G48" s="19" t="n">
        <f aca="false">F48*C48</f>
        <v>0.0861835170318544</v>
      </c>
      <c r="H48" s="18" t="n">
        <f aca="false">$C$13-C48</f>
        <v>0.616389590559734</v>
      </c>
      <c r="I48" s="19" t="n">
        <f aca="false">G48+$C$7*C48</f>
        <v>7.24582613325787</v>
      </c>
      <c r="J48" s="39" t="n">
        <f aca="false">$C$13</f>
        <v>72.2128157528199</v>
      </c>
    </row>
    <row r="49" customFormat="false" ht="15" hidden="false" customHeight="false" outlineLevel="0" collapsed="false">
      <c r="B49" s="31" t="n">
        <v>21</v>
      </c>
      <c r="C49" s="18" t="n">
        <f aca="false">C48+G48</f>
        <v>71.682609679292</v>
      </c>
      <c r="D49" s="21" t="n">
        <f aca="false">$C$6*$C$5*C49^($C$6-1)</f>
        <v>0.150775781855002</v>
      </c>
      <c r="E49" s="21" t="n">
        <f aca="false">D49/($C$8+$C$7)</f>
        <v>1.00517187903335</v>
      </c>
      <c r="F49" s="23" t="n">
        <f aca="false">(E49-1)/$C$9</f>
        <v>0.00103437580666941</v>
      </c>
      <c r="G49" s="19" t="n">
        <f aca="false">F49*C49</f>
        <v>0.074146757211186</v>
      </c>
      <c r="H49" s="18" t="n">
        <f aca="false">$C$13-C49</f>
        <v>0.530206073527879</v>
      </c>
      <c r="I49" s="19" t="n">
        <f aca="false">G49+$C$7*C49</f>
        <v>7.24240772514039</v>
      </c>
      <c r="J49" s="39" t="n">
        <f aca="false">$C$13</f>
        <v>72.2128157528199</v>
      </c>
    </row>
    <row r="50" customFormat="false" ht="15" hidden="false" customHeight="false" outlineLevel="0" collapsed="false">
      <c r="B50" s="31" t="n">
        <v>22</v>
      </c>
      <c r="C50" s="18" t="n">
        <f aca="false">C49+G49</f>
        <v>71.7567564365032</v>
      </c>
      <c r="D50" s="21" t="n">
        <f aca="false">$C$6*$C$5*C50^($C$6-1)</f>
        <v>0.150666706576462</v>
      </c>
      <c r="E50" s="21" t="n">
        <f aca="false">D50/($C$8+$C$7)</f>
        <v>1.00444471050975</v>
      </c>
      <c r="F50" s="23" t="n">
        <f aca="false">(E50-1)/$C$9</f>
        <v>0.00088894210194912</v>
      </c>
      <c r="G50" s="19" t="n">
        <f aca="false">F50*C50</f>
        <v>0.0637876018957162</v>
      </c>
      <c r="H50" s="18" t="n">
        <f aca="false">$C$13-C50</f>
        <v>0.456059316316697</v>
      </c>
      <c r="I50" s="19" t="n">
        <f aca="false">G50+$C$7*C50</f>
        <v>7.23946324554604</v>
      </c>
      <c r="J50" s="39" t="n">
        <f aca="false">$C$13</f>
        <v>72.2128157528199</v>
      </c>
    </row>
    <row r="51" customFormat="false" ht="15" hidden="false" customHeight="false" outlineLevel="0" collapsed="false">
      <c r="B51" s="31" t="n">
        <v>23</v>
      </c>
      <c r="C51" s="18" t="n">
        <f aca="false">C50+G50</f>
        <v>71.8205440383989</v>
      </c>
      <c r="D51" s="21" t="n">
        <f aca="false">$C$6*$C$5*C51^($C$6-1)</f>
        <v>0.15057302357508</v>
      </c>
      <c r="E51" s="21" t="n">
        <f aca="false">D51/($C$8+$C$7)</f>
        <v>1.0038201571672</v>
      </c>
      <c r="F51" s="23" t="n">
        <f aca="false">(E51-1)/$C$9</f>
        <v>0.000764031433440016</v>
      </c>
      <c r="G51" s="19" t="n">
        <f aca="false">F51*C51</f>
        <v>0.0548731532120997</v>
      </c>
      <c r="H51" s="18" t="n">
        <f aca="false">$C$13-C51</f>
        <v>0.392271714420986</v>
      </c>
      <c r="I51" s="19" t="n">
        <f aca="false">G51+$C$7*C51</f>
        <v>7.23692755705199</v>
      </c>
      <c r="J51" s="39" t="n">
        <f aca="false">$C$13</f>
        <v>72.2128157528199</v>
      </c>
    </row>
    <row r="52" customFormat="false" ht="15" hidden="false" customHeight="false" outlineLevel="0" collapsed="false">
      <c r="B52" s="31" t="n">
        <v>24</v>
      </c>
      <c r="C52" s="18" t="n">
        <f aca="false">C51+G51</f>
        <v>71.875417191611</v>
      </c>
      <c r="D52" s="21" t="n">
        <f aca="false">$C$6*$C$5*C52^($C$6-1)</f>
        <v>0.150492546071198</v>
      </c>
      <c r="E52" s="21" t="n">
        <f aca="false">D52/($C$8+$C$7)</f>
        <v>1.00328364047465</v>
      </c>
      <c r="F52" s="23" t="n">
        <f aca="false">(E52-1)/$C$9</f>
        <v>0.000656728094930426</v>
      </c>
      <c r="G52" s="19" t="n">
        <f aca="false">F52*C52</f>
        <v>0.0472026058045762</v>
      </c>
      <c r="H52" s="18" t="n">
        <f aca="false">$C$13-C52</f>
        <v>0.337398561208886</v>
      </c>
      <c r="I52" s="19" t="n">
        <f aca="false">G52+$C$7*C52</f>
        <v>7.23474432496568</v>
      </c>
      <c r="J52" s="39" t="n">
        <f aca="false">$C$13</f>
        <v>72.2128157528199</v>
      </c>
    </row>
    <row r="54" customFormat="false" ht="39" hidden="false" customHeight="true" outlineLevel="0" collapsed="false">
      <c r="B54" s="20" t="s">
        <v>304</v>
      </c>
      <c r="C54" s="20"/>
      <c r="D54" s="20"/>
      <c r="E54" s="20"/>
      <c r="F54" s="20"/>
      <c r="G54" s="20"/>
      <c r="H54" s="20"/>
      <c r="I54" s="20"/>
    </row>
  </sheetData>
  <mergeCells count="10">
    <mergeCell ref="B1:J1"/>
    <mergeCell ref="B2:J2"/>
    <mergeCell ref="B4:J4"/>
    <mergeCell ref="B11:J11"/>
    <mergeCell ref="B12:I12"/>
    <mergeCell ref="B15:J15"/>
    <mergeCell ref="B22:I22"/>
    <mergeCell ref="B24:J24"/>
    <mergeCell ref="B25:I25"/>
    <mergeCell ref="B54:I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305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306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307</v>
      </c>
      <c r="C5" s="15" t="n">
        <v>0.6</v>
      </c>
    </row>
    <row r="6" customFormat="false" ht="15" hidden="false" customHeight="false" outlineLevel="0" collapsed="false">
      <c r="B6" s="9" t="s">
        <v>45</v>
      </c>
      <c r="C6" s="15" t="n">
        <v>0.05</v>
      </c>
    </row>
    <row r="7" customFormat="false" ht="15" hidden="false" customHeight="false" outlineLevel="0" collapsed="false">
      <c r="B7" s="9" t="s">
        <v>308</v>
      </c>
      <c r="C7" s="15" t="n">
        <v>0.03</v>
      </c>
    </row>
    <row r="8" customFormat="false" ht="15" hidden="false" customHeight="false" outlineLevel="0" collapsed="false">
      <c r="B8" s="9" t="s">
        <v>309</v>
      </c>
      <c r="C8" s="15" t="n">
        <v>0.01</v>
      </c>
    </row>
    <row r="9" customFormat="false" ht="15" hidden="false" customHeight="false" outlineLevel="0" collapsed="false">
      <c r="B9" s="9" t="s">
        <v>310</v>
      </c>
      <c r="C9" s="15" t="n">
        <v>0.06</v>
      </c>
    </row>
    <row r="11" customFormat="false" ht="15" hidden="false" customHeight="false" outlineLevel="0" collapsed="false">
      <c r="B11" s="13" t="s">
        <v>311</v>
      </c>
      <c r="C11" s="13"/>
      <c r="D11" s="13"/>
      <c r="E11" s="13"/>
      <c r="F11" s="13"/>
      <c r="G11" s="13"/>
      <c r="H11" s="13"/>
      <c r="I11" s="13"/>
      <c r="J11" s="13"/>
    </row>
    <row r="12" customFormat="false" ht="15" hidden="false" customHeight="false" outlineLevel="0" collapsed="false">
      <c r="B12" s="7" t="s">
        <v>312</v>
      </c>
      <c r="C12" s="35" t="n">
        <f aca="false">(1+$C$6)/(1+$C$7)</f>
        <v>1.01941747572816</v>
      </c>
    </row>
    <row r="13" customFormat="false" ht="15" hidden="false" customHeight="false" outlineLevel="0" collapsed="false">
      <c r="B13" s="9" t="s">
        <v>313</v>
      </c>
      <c r="C13" s="21" t="n">
        <f aca="false">($C$6-$C$7)*$C$5-$C$8</f>
        <v>0.002</v>
      </c>
      <c r="D13" s="16" t="s">
        <v>314</v>
      </c>
    </row>
    <row r="14" customFormat="false" ht="15" hidden="false" customHeight="false" outlineLevel="0" collapsed="false">
      <c r="B14" s="7" t="s">
        <v>315</v>
      </c>
      <c r="C14" s="37" t="n">
        <f aca="false">$C$8/($C$12-1)</f>
        <v>0.515</v>
      </c>
    </row>
    <row r="15" customFormat="false" ht="15" hidden="false" customHeight="false" outlineLevel="0" collapsed="false">
      <c r="B15" s="9" t="s">
        <v>316</v>
      </c>
      <c r="C15" s="22" t="str">
        <f aca="false">IF($C$12&gt;1,"Umbral INESTABLE (r &gt; g): si b₀ &gt; b* la deuda explota",IF($C$12&lt;1,"Atractor ESTABLE (r &lt; g): la deuda converge a b*","Caso frontera r = g"))</f>
        <v>Umbral INESTABLE (r &gt; g): si b₀ &gt; b* la deuda explota</v>
      </c>
    </row>
    <row r="16" customFormat="false" ht="15" hidden="false" customHeight="false" outlineLevel="0" collapsed="false">
      <c r="B16" s="9" t="s">
        <v>317</v>
      </c>
      <c r="C16" s="22" t="str">
        <f aca="false">IF($C$5&gt;$C$14,"b₀ por encima de b*","b₀ por debajo de b*")</f>
        <v>b₀ por encima de b*</v>
      </c>
    </row>
    <row r="18" customFormat="false" ht="15" hidden="false" customHeight="false" outlineLevel="0" collapsed="false">
      <c r="B18" s="13" t="s">
        <v>318</v>
      </c>
      <c r="C18" s="13"/>
      <c r="D18" s="13"/>
      <c r="E18" s="13"/>
      <c r="F18" s="13"/>
      <c r="G18" s="13"/>
      <c r="H18" s="13"/>
      <c r="I18" s="13"/>
      <c r="J18" s="13"/>
    </row>
    <row r="19" customFormat="false" ht="15" hidden="false" customHeight="false" outlineLevel="0" collapsed="false">
      <c r="B19" s="7" t="s">
        <v>319</v>
      </c>
      <c r="C19" s="36" t="n">
        <f aca="false">($C$12-1)*$C$5</f>
        <v>0.0116504854368932</v>
      </c>
    </row>
    <row r="20" customFormat="false" ht="15" hidden="false" customHeight="false" outlineLevel="0" collapsed="false">
      <c r="B20" s="7" t="s">
        <v>320</v>
      </c>
      <c r="C20" s="36" t="n">
        <f aca="false">($C$12-1)*$C$5-$C$8</f>
        <v>0.0016504854368932</v>
      </c>
    </row>
    <row r="21" customFormat="false" ht="12.75" hidden="false" customHeight="true" outlineLevel="0" collapsed="false">
      <c r="B21" s="20" t="s">
        <v>321</v>
      </c>
      <c r="C21" s="20"/>
      <c r="D21" s="20"/>
      <c r="E21" s="20"/>
      <c r="F21" s="20"/>
      <c r="G21" s="20"/>
      <c r="H21" s="20"/>
      <c r="I21" s="20"/>
    </row>
    <row r="23" customFormat="false" ht="15" hidden="false" customHeight="false" outlineLevel="0" collapsed="false">
      <c r="B23" s="13" t="s">
        <v>322</v>
      </c>
      <c r="C23" s="13"/>
      <c r="D23" s="13"/>
      <c r="E23" s="13"/>
      <c r="F23" s="13"/>
      <c r="G23" s="13"/>
      <c r="H23" s="13"/>
      <c r="I23" s="13"/>
      <c r="J23" s="13"/>
    </row>
    <row r="24" customFormat="false" ht="35.05" hidden="false" customHeight="false" outlineLevel="0" collapsed="false">
      <c r="B24" s="3" t="s">
        <v>174</v>
      </c>
      <c r="C24" s="3" t="s">
        <v>323</v>
      </c>
      <c r="D24" s="3" t="s">
        <v>324</v>
      </c>
      <c r="E24" s="3" t="s">
        <v>325</v>
      </c>
      <c r="F24" s="3" t="s">
        <v>326</v>
      </c>
    </row>
    <row r="25" customFormat="false" ht="15" hidden="false" customHeight="false" outlineLevel="0" collapsed="false">
      <c r="B25" s="31" t="n">
        <v>0</v>
      </c>
      <c r="C25" s="23" t="n">
        <f aca="false">$C$5</f>
        <v>0.6</v>
      </c>
      <c r="D25" s="23" t="n">
        <f aca="false">$C$5</f>
        <v>0.6</v>
      </c>
      <c r="E25" s="23" t="n">
        <f aca="false">$C$14</f>
        <v>0.515</v>
      </c>
      <c r="F25" s="23" t="n">
        <f aca="false">$C$12^B25*($C$5-$C$14)+$C$14</f>
        <v>0.6</v>
      </c>
    </row>
    <row r="26" customFormat="false" ht="15" hidden="false" customHeight="false" outlineLevel="0" collapsed="false">
      <c r="B26" s="31" t="n">
        <v>1</v>
      </c>
      <c r="C26" s="23" t="n">
        <f aca="false">$C$12*C25-$C$8</f>
        <v>0.601650485436893</v>
      </c>
      <c r="D26" s="23" t="n">
        <f aca="false">(1+$C$6)/(1+$C$9)*D25-$C$8</f>
        <v>0.584339622641509</v>
      </c>
      <c r="E26" s="23" t="n">
        <f aca="false">$C$14</f>
        <v>0.515</v>
      </c>
      <c r="F26" s="23" t="n">
        <f aca="false">$C$12^B26*($C$5-$C$14)+$C$14</f>
        <v>0.601650485436893</v>
      </c>
    </row>
    <row r="27" customFormat="false" ht="15" hidden="false" customHeight="false" outlineLevel="0" collapsed="false">
      <c r="B27" s="31" t="n">
        <v>2</v>
      </c>
      <c r="C27" s="23" t="n">
        <f aca="false">$C$12*C26-$C$8</f>
        <v>0.603333019134697</v>
      </c>
      <c r="D27" s="23" t="n">
        <f aca="false">(1+$C$6)/(1+$C$9)*D26-$C$8</f>
        <v>0.568826984692061</v>
      </c>
      <c r="E27" s="23" t="n">
        <f aca="false">$C$14</f>
        <v>0.515</v>
      </c>
      <c r="F27" s="23" t="n">
        <f aca="false">$C$12^B27*($C$5-$C$14)+$C$14</f>
        <v>0.603333019134697</v>
      </c>
    </row>
    <row r="28" customFormat="false" ht="15" hidden="false" customHeight="false" outlineLevel="0" collapsed="false">
      <c r="B28" s="31" t="n">
        <v>3</v>
      </c>
      <c r="C28" s="23" t="n">
        <f aca="false">$C$12*C27-$C$8</f>
        <v>0.60504822338974</v>
      </c>
      <c r="D28" s="23" t="n">
        <f aca="false">(1+$C$6)/(1+$C$9)*D27-$C$8</f>
        <v>0.553460692383646</v>
      </c>
      <c r="E28" s="23" t="n">
        <f aca="false">$C$14</f>
        <v>0.515</v>
      </c>
      <c r="F28" s="23" t="n">
        <f aca="false">$C$12^B28*($C$5-$C$14)+$C$14</f>
        <v>0.60504822338974</v>
      </c>
    </row>
    <row r="29" customFormat="false" ht="15" hidden="false" customHeight="false" outlineLevel="0" collapsed="false">
      <c r="B29" s="31" t="n">
        <v>4</v>
      </c>
      <c r="C29" s="23" t="n">
        <f aca="false">$C$12*C28-$C$8</f>
        <v>0.606796732581773</v>
      </c>
      <c r="D29" s="23" t="n">
        <f aca="false">(1+$C$6)/(1+$C$9)*D28-$C$8</f>
        <v>0.538239365097007</v>
      </c>
      <c r="E29" s="23" t="n">
        <f aca="false">$C$14</f>
        <v>0.515</v>
      </c>
      <c r="F29" s="23" t="n">
        <f aca="false">$C$12^B29*($C$5-$C$14)+$C$14</f>
        <v>0.606796732581773</v>
      </c>
    </row>
    <row r="30" customFormat="false" ht="15" hidden="false" customHeight="false" outlineLevel="0" collapsed="false">
      <c r="B30" s="31" t="n">
        <v>5</v>
      </c>
      <c r="C30" s="23" t="n">
        <f aca="false">$C$12*C29-$C$8</f>
        <v>0.608579193408604</v>
      </c>
      <c r="D30" s="23" t="n">
        <f aca="false">(1+$C$6)/(1+$C$9)*D29-$C$8</f>
        <v>0.523161635237602</v>
      </c>
      <c r="E30" s="23" t="n">
        <f aca="false">$C$14</f>
        <v>0.515</v>
      </c>
      <c r="F30" s="23" t="n">
        <f aca="false">$C$12^B30*($C$5-$C$14)+$C$14</f>
        <v>0.608579193408604</v>
      </c>
    </row>
    <row r="31" customFormat="false" ht="15" hidden="false" customHeight="false" outlineLevel="0" collapsed="false">
      <c r="B31" s="31" t="n">
        <v>6</v>
      </c>
      <c r="C31" s="23" t="n">
        <f aca="false">$C$12*C30-$C$8</f>
        <v>0.610396265125276</v>
      </c>
      <c r="D31" s="23" t="n">
        <f aca="false">(1+$C$6)/(1+$C$9)*D30-$C$8</f>
        <v>0.508226148112719</v>
      </c>
      <c r="E31" s="23" t="n">
        <f aca="false">$C$14</f>
        <v>0.515</v>
      </c>
      <c r="F31" s="23" t="n">
        <f aca="false">$C$12^B31*($C$5-$C$14)+$C$14</f>
        <v>0.610396265125276</v>
      </c>
    </row>
    <row r="32" customFormat="false" ht="15" hidden="false" customHeight="false" outlineLevel="0" collapsed="false">
      <c r="B32" s="31" t="n">
        <v>7</v>
      </c>
      <c r="C32" s="23" t="n">
        <f aca="false">$C$12*C31-$C$8</f>
        <v>0.612248619787902</v>
      </c>
      <c r="D32" s="23" t="n">
        <f aca="false">(1+$C$6)/(1+$C$9)*D31-$C$8</f>
        <v>0.493431561809768</v>
      </c>
      <c r="E32" s="23" t="n">
        <f aca="false">$C$14</f>
        <v>0.515</v>
      </c>
      <c r="F32" s="23" t="n">
        <f aca="false">$C$12^B32*($C$5-$C$14)+$C$14</f>
        <v>0.612248619787903</v>
      </c>
    </row>
    <row r="33" customFormat="false" ht="15" hidden="false" customHeight="false" outlineLevel="0" collapsed="false">
      <c r="B33" s="31" t="n">
        <v>8</v>
      </c>
      <c r="C33" s="23" t="n">
        <f aca="false">$C$12*C32-$C$8</f>
        <v>0.614136942502231</v>
      </c>
      <c r="D33" s="23" t="n">
        <f aca="false">(1+$C$6)/(1+$C$9)*D32-$C$8</f>
        <v>0.478776547075714</v>
      </c>
      <c r="E33" s="23" t="n">
        <f aca="false">$C$14</f>
        <v>0.515</v>
      </c>
      <c r="F33" s="23" t="n">
        <f aca="false">$C$12^B33*($C$5-$C$14)+$C$14</f>
        <v>0.614136942502231</v>
      </c>
    </row>
    <row r="34" customFormat="false" ht="15" hidden="false" customHeight="false" outlineLevel="0" collapsed="false">
      <c r="B34" s="31" t="n">
        <v>9</v>
      </c>
      <c r="C34" s="23" t="n">
        <f aca="false">$C$12*C33-$C$8</f>
        <v>0.616061931677031</v>
      </c>
      <c r="D34" s="23" t="n">
        <f aca="false">(1+$C$6)/(1+$C$9)*D33-$C$8</f>
        <v>0.464259787197641</v>
      </c>
      <c r="E34" s="23" t="n">
        <f aca="false">$C$14</f>
        <v>0.515</v>
      </c>
      <c r="F34" s="23" t="n">
        <f aca="false">$C$12^B34*($C$5-$C$14)+$C$14</f>
        <v>0.616061931677031</v>
      </c>
    </row>
    <row r="35" customFormat="false" ht="15" hidden="false" customHeight="false" outlineLevel="0" collapsed="false">
      <c r="B35" s="31" t="n">
        <v>10</v>
      </c>
      <c r="C35" s="23" t="n">
        <f aca="false">$C$12*C34-$C$8</f>
        <v>0.61802429928241</v>
      </c>
      <c r="D35" s="23" t="n">
        <f aca="false">(1+$C$6)/(1+$C$9)*D34-$C$8</f>
        <v>0.449879977884456</v>
      </c>
      <c r="E35" s="23" t="n">
        <f aca="false">$C$14</f>
        <v>0.515</v>
      </c>
      <c r="F35" s="23" t="n">
        <f aca="false">$C$12^B35*($C$5-$C$14)+$C$14</f>
        <v>0.618024299282411</v>
      </c>
    </row>
    <row r="36" customFormat="false" ht="15" hidden="false" customHeight="false" outlineLevel="0" collapsed="false">
      <c r="B36" s="31" t="n">
        <v>11</v>
      </c>
      <c r="C36" s="23" t="n">
        <f aca="false">$C$12*C35-$C$8</f>
        <v>0.620024771113137</v>
      </c>
      <c r="D36" s="23" t="n">
        <f aca="false">(1+$C$6)/(1+$C$9)*D35-$C$8</f>
        <v>0.435635827149697</v>
      </c>
      <c r="E36" s="23" t="n">
        <f aca="false">$C$14</f>
        <v>0.515</v>
      </c>
      <c r="F36" s="23" t="n">
        <f aca="false">$C$12^B36*($C$5-$C$14)+$C$14</f>
        <v>0.620024771113137</v>
      </c>
    </row>
    <row r="37" customFormat="false" ht="15" hidden="false" customHeight="false" outlineLevel="0" collapsed="false">
      <c r="B37" s="31" t="n">
        <v>12</v>
      </c>
      <c r="C37" s="23" t="n">
        <f aca="false">$C$12*C36-$C$8</f>
        <v>0.622064087057081</v>
      </c>
      <c r="D37" s="23" t="n">
        <f aca="false">(1+$C$6)/(1+$C$9)*D36-$C$8</f>
        <v>0.421526055195454</v>
      </c>
      <c r="E37" s="23" t="n">
        <f aca="false">$C$14</f>
        <v>0.515</v>
      </c>
      <c r="F37" s="23" t="n">
        <f aca="false">$C$12^B37*($C$5-$C$14)+$C$14</f>
        <v>0.622064087057081</v>
      </c>
    </row>
    <row r="38" customFormat="false" ht="15" hidden="false" customHeight="false" outlineLevel="0" collapsed="false">
      <c r="B38" s="31" t="n">
        <v>13</v>
      </c>
      <c r="C38" s="23" t="n">
        <f aca="false">$C$12*C37-$C$8</f>
        <v>0.624143001368869</v>
      </c>
      <c r="D38" s="23" t="n">
        <f aca="false">(1+$C$6)/(1+$C$9)*D37-$C$8</f>
        <v>0.407549394297384</v>
      </c>
      <c r="E38" s="23" t="n">
        <f aca="false">$C$14</f>
        <v>0.515</v>
      </c>
      <c r="F38" s="23" t="n">
        <f aca="false">$C$12^B38*($C$5-$C$14)+$C$14</f>
        <v>0.624143001368869</v>
      </c>
    </row>
    <row r="39" customFormat="false" ht="15" hidden="false" customHeight="false" outlineLevel="0" collapsed="false">
      <c r="B39" s="31" t="n">
        <v>14</v>
      </c>
      <c r="C39" s="23" t="n">
        <f aca="false">$C$12*C38-$C$8</f>
        <v>0.626262282948847</v>
      </c>
      <c r="D39" s="23" t="n">
        <f aca="false">(1+$C$6)/(1+$C$9)*D38-$C$8</f>
        <v>0.393704588690805</v>
      </c>
      <c r="E39" s="23" t="n">
        <f aca="false">$C$14</f>
        <v>0.515</v>
      </c>
      <c r="F39" s="23" t="n">
        <f aca="false">$C$12^B39*($C$5-$C$14)+$C$14</f>
        <v>0.626262282948847</v>
      </c>
    </row>
    <row r="40" customFormat="false" ht="15" hidden="false" customHeight="false" outlineLevel="0" collapsed="false">
      <c r="B40" s="31" t="n">
        <v>15</v>
      </c>
      <c r="C40" s="23" t="n">
        <f aca="false">$C$12*C39-$C$8</f>
        <v>0.628422715627465</v>
      </c>
      <c r="D40" s="23" t="n">
        <f aca="false">(1+$C$6)/(1+$C$9)*D39-$C$8</f>
        <v>0.379990394457873</v>
      </c>
      <c r="E40" s="23" t="n">
        <f aca="false">$C$14</f>
        <v>0.515</v>
      </c>
      <c r="F40" s="23" t="n">
        <f aca="false">$C$12^B40*($C$5-$C$14)+$C$14</f>
        <v>0.628422715627466</v>
      </c>
    </row>
    <row r="42" customFormat="false" ht="15" hidden="false" customHeight="false" outlineLevel="0" collapsed="false">
      <c r="B42" s="13" t="s">
        <v>327</v>
      </c>
      <c r="C42" s="13"/>
      <c r="D42" s="13"/>
      <c r="E42" s="13"/>
      <c r="F42" s="13"/>
      <c r="G42" s="13"/>
      <c r="H42" s="13"/>
      <c r="I42" s="13"/>
      <c r="J42" s="13"/>
    </row>
    <row r="43" customFormat="false" ht="15" hidden="false" customHeight="false" outlineLevel="0" collapsed="false">
      <c r="B43" s="3" t="s">
        <v>328</v>
      </c>
      <c r="C43" s="3" t="s">
        <v>329</v>
      </c>
      <c r="D43" s="3" t="s">
        <v>330</v>
      </c>
      <c r="E43" s="3" t="s">
        <v>331</v>
      </c>
      <c r="F43" s="3" t="s">
        <v>332</v>
      </c>
    </row>
    <row r="44" customFormat="false" ht="15" hidden="false" customHeight="false" outlineLevel="0" collapsed="false">
      <c r="B44" s="28" t="s">
        <v>333</v>
      </c>
      <c r="C44" s="40" t="n">
        <f aca="false">$C$12</f>
        <v>1.01941747572816</v>
      </c>
      <c r="D44" s="23" t="n">
        <f aca="false">$C$14</f>
        <v>0.515</v>
      </c>
      <c r="E44" s="23" t="n">
        <f aca="false">C30</f>
        <v>0.608579193408604</v>
      </c>
      <c r="F44" s="22" t="str">
        <f aca="false">IF($C$12&gt;1,"Umbral inestable","Atractor estable")</f>
        <v>Umbral inestable</v>
      </c>
    </row>
    <row r="45" customFormat="false" ht="15" hidden="false" customHeight="false" outlineLevel="0" collapsed="false">
      <c r="B45" s="28" t="s">
        <v>334</v>
      </c>
      <c r="C45" s="40" t="n">
        <f aca="false">(1+$C$6)/(1+$C$9)</f>
        <v>0.990566037735849</v>
      </c>
      <c r="D45" s="23" t="n">
        <f aca="false">$C$8/((1+$C$6)/(1+$C$9)-1)</f>
        <v>-1.06</v>
      </c>
      <c r="E45" s="23" t="n">
        <f aca="false">D30</f>
        <v>0.523161635237602</v>
      </c>
      <c r="F45" s="22" t="str">
        <f aca="false">IF((1+$C$6)/(1+$C$9)&gt;1,"Umbral inestable","Atractor estable")</f>
        <v>Atractor estable</v>
      </c>
    </row>
    <row r="47" customFormat="false" ht="39" hidden="false" customHeight="true" outlineLevel="0" collapsed="false">
      <c r="B47" s="20" t="s">
        <v>335</v>
      </c>
      <c r="C47" s="20"/>
      <c r="D47" s="20"/>
      <c r="E47" s="20"/>
      <c r="F47" s="20"/>
      <c r="G47" s="20"/>
      <c r="H47" s="20"/>
      <c r="I47" s="20"/>
    </row>
    <row r="48" customFormat="false" ht="39" hidden="false" customHeight="true" outlineLevel="0" collapsed="false">
      <c r="B48" s="20" t="s">
        <v>336</v>
      </c>
      <c r="C48" s="20"/>
      <c r="D48" s="20"/>
      <c r="E48" s="20"/>
      <c r="F48" s="20"/>
      <c r="G48" s="20"/>
      <c r="H48" s="20"/>
      <c r="I48" s="20"/>
    </row>
  </sheetData>
  <mergeCells count="10">
    <mergeCell ref="B1:J1"/>
    <mergeCell ref="B2:J2"/>
    <mergeCell ref="B4:J4"/>
    <mergeCell ref="B11:J11"/>
    <mergeCell ref="B18:J18"/>
    <mergeCell ref="B21:I21"/>
    <mergeCell ref="B23:J23"/>
    <mergeCell ref="B42:J42"/>
    <mergeCell ref="B47:I47"/>
    <mergeCell ref="B48:I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40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41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43</v>
      </c>
      <c r="C5" s="14" t="n">
        <v>100</v>
      </c>
    </row>
    <row r="6" customFormat="false" ht="15" hidden="false" customHeight="false" outlineLevel="0" collapsed="false">
      <c r="B6" s="9" t="s">
        <v>44</v>
      </c>
      <c r="C6" s="14" t="n">
        <v>126</v>
      </c>
    </row>
    <row r="7" customFormat="false" ht="15" hidden="false" customHeight="false" outlineLevel="0" collapsed="false">
      <c r="B7" s="9" t="s">
        <v>45</v>
      </c>
      <c r="C7" s="15" t="n">
        <v>0.05</v>
      </c>
    </row>
    <row r="8" customFormat="false" ht="15" hidden="false" customHeight="false" outlineLevel="0" collapsed="false">
      <c r="B8" s="9" t="s">
        <v>46</v>
      </c>
      <c r="C8" s="14" t="n">
        <v>130</v>
      </c>
      <c r="D8" s="16" t="s">
        <v>47</v>
      </c>
    </row>
    <row r="9" customFormat="false" ht="15" hidden="false" customHeight="false" outlineLevel="0" collapsed="false">
      <c r="B9" s="9" t="s">
        <v>48</v>
      </c>
      <c r="C9" s="15" t="n">
        <v>0.1</v>
      </c>
      <c r="D9" s="16" t="s">
        <v>49</v>
      </c>
    </row>
    <row r="11" customFormat="false" ht="15" hidden="false" customHeight="false" outlineLevel="0" collapsed="false">
      <c r="B11" s="13" t="s">
        <v>50</v>
      </c>
      <c r="C11" s="13"/>
      <c r="D11" s="13"/>
      <c r="E11" s="13"/>
      <c r="F11" s="13"/>
      <c r="G11" s="13"/>
      <c r="H11" s="13"/>
      <c r="I11" s="13"/>
      <c r="J11" s="13"/>
    </row>
    <row r="12" customFormat="false" ht="15" hidden="false" customHeight="false" outlineLevel="0" collapsed="false">
      <c r="B12" s="7" t="s">
        <v>51</v>
      </c>
      <c r="C12" s="17" t="n">
        <f aca="false">$C$5+$C$6/(1+$C$7)</f>
        <v>220</v>
      </c>
      <c r="D12" s="16" t="s">
        <v>52</v>
      </c>
    </row>
    <row r="14" customFormat="false" ht="15" hidden="false" customHeight="false" outlineLevel="0" collapsed="false">
      <c r="B14" s="13" t="s">
        <v>53</v>
      </c>
      <c r="C14" s="13"/>
      <c r="D14" s="13"/>
      <c r="E14" s="13"/>
      <c r="F14" s="13"/>
      <c r="G14" s="13"/>
      <c r="H14" s="13"/>
      <c r="I14" s="13"/>
      <c r="J14" s="13"/>
    </row>
    <row r="15" customFormat="false" ht="15" hidden="false" customHeight="false" outlineLevel="0" collapsed="false">
      <c r="B15" s="9" t="s">
        <v>54</v>
      </c>
      <c r="C15" s="18" t="n">
        <f aca="false">$C$12</f>
        <v>220</v>
      </c>
    </row>
    <row r="16" customFormat="false" ht="15" hidden="false" customHeight="false" outlineLevel="0" collapsed="false">
      <c r="B16" s="9" t="s">
        <v>55</v>
      </c>
      <c r="C16" s="18" t="n">
        <f aca="false">(1+$C$7)*$C$12</f>
        <v>231</v>
      </c>
    </row>
    <row r="17" customFormat="false" ht="15" hidden="false" customHeight="false" outlineLevel="0" collapsed="false">
      <c r="B17" s="9" t="s">
        <v>56</v>
      </c>
      <c r="C17" s="19" t="n">
        <f aca="false">-(1+$C$7)</f>
        <v>-1.05</v>
      </c>
    </row>
    <row r="18" customFormat="false" ht="12.75" hidden="false" customHeight="true" outlineLevel="0" collapsed="false">
      <c r="B18" s="20" t="s">
        <v>57</v>
      </c>
      <c r="C18" s="20"/>
      <c r="D18" s="20"/>
      <c r="E18" s="20"/>
      <c r="F18" s="20"/>
      <c r="G18" s="20"/>
      <c r="H18" s="20"/>
      <c r="I18" s="20"/>
    </row>
    <row r="20" customFormat="false" ht="15" hidden="false" customHeight="false" outlineLevel="0" collapsed="false">
      <c r="B20" s="13" t="s">
        <v>58</v>
      </c>
      <c r="C20" s="13"/>
      <c r="D20" s="13"/>
      <c r="E20" s="13"/>
      <c r="F20" s="13"/>
      <c r="G20" s="13"/>
      <c r="H20" s="13"/>
      <c r="I20" s="13"/>
      <c r="J20" s="13"/>
    </row>
    <row r="21" customFormat="false" ht="15" hidden="false" customHeight="false" outlineLevel="0" collapsed="false">
      <c r="B21" s="7" t="s">
        <v>59</v>
      </c>
      <c r="C21" s="17" t="n">
        <f aca="false">$C$5-$C$8</f>
        <v>-30</v>
      </c>
      <c r="D21" s="16" t="s">
        <v>60</v>
      </c>
    </row>
    <row r="22" customFormat="false" ht="15" hidden="false" customHeight="false" outlineLevel="0" collapsed="false">
      <c r="B22" s="7" t="s">
        <v>61</v>
      </c>
      <c r="C22" s="17" t="n">
        <f aca="false">$C$6+(1+$C$7)*$C$21</f>
        <v>94.5</v>
      </c>
    </row>
    <row r="23" customFormat="false" ht="15" hidden="false" customHeight="false" outlineLevel="0" collapsed="false">
      <c r="B23" s="9" t="s">
        <v>62</v>
      </c>
      <c r="C23" s="18" t="n">
        <f aca="false">$C$8+$C$22/(1+$C$7)</f>
        <v>220</v>
      </c>
      <c r="D23" s="16" t="s">
        <v>63</v>
      </c>
    </row>
    <row r="24" customFormat="false" ht="15" hidden="false" customHeight="false" outlineLevel="0" collapsed="false">
      <c r="B24" s="9" t="s">
        <v>64</v>
      </c>
      <c r="C24" s="21" t="n">
        <f aca="false">$C$8+$C$22/(1+$C$7)-$C$12</f>
        <v>0</v>
      </c>
    </row>
    <row r="25" customFormat="false" ht="15" hidden="false" customHeight="false" outlineLevel="0" collapsed="false">
      <c r="B25" s="9" t="s">
        <v>65</v>
      </c>
      <c r="C25" s="22" t="str">
        <f aca="false">IF($C$21&lt;0,"Deudor neto",IF($C$21&gt;0,"Acreedor neto","Autarquía"))</f>
        <v>Deudor neto</v>
      </c>
    </row>
    <row r="27" customFormat="false" ht="15" hidden="false" customHeight="false" outlineLevel="0" collapsed="false">
      <c r="B27" s="13" t="s">
        <v>66</v>
      </c>
      <c r="C27" s="13"/>
      <c r="D27" s="13"/>
      <c r="E27" s="13"/>
      <c r="F27" s="13"/>
      <c r="G27" s="13"/>
      <c r="H27" s="13"/>
      <c r="I27" s="13"/>
      <c r="J27" s="13"/>
    </row>
    <row r="28" customFormat="false" ht="15" hidden="false" customHeight="false" outlineLevel="0" collapsed="false">
      <c r="B28" s="7" t="s">
        <v>67</v>
      </c>
      <c r="C28" s="17" t="n">
        <f aca="false">$C$5+$C$6/(1+$C$9)</f>
        <v>214.545454545455</v>
      </c>
    </row>
    <row r="29" customFormat="false" ht="15" hidden="false" customHeight="false" outlineLevel="0" collapsed="false">
      <c r="B29" s="7" t="s">
        <v>68</v>
      </c>
      <c r="C29" s="17" t="n">
        <f aca="false">$C$28-$C$12</f>
        <v>-5.45454545454547</v>
      </c>
    </row>
    <row r="30" customFormat="false" ht="15" hidden="false" customHeight="false" outlineLevel="0" collapsed="false">
      <c r="B30" s="9" t="s">
        <v>69</v>
      </c>
      <c r="C30" s="23" t="n">
        <f aca="false">$C$28/$C$12-1</f>
        <v>-0.0247933884297521</v>
      </c>
    </row>
    <row r="31" customFormat="false" ht="15" hidden="false" customHeight="false" outlineLevel="0" collapsed="false">
      <c r="B31" s="9" t="s">
        <v>70</v>
      </c>
      <c r="C31" s="22" t="str">
        <f aca="false">IF($C$21&lt;0,"Pierde: es deudor neto y le encarece el consumo presente",IF($C$21&gt;0,"Gana: es acreedor neto","Indiferente: consume su dotación"))</f>
        <v>Pierde: es deudor neto y le encarece el consumo presente</v>
      </c>
    </row>
    <row r="32" customFormat="false" ht="39" hidden="false" customHeight="true" outlineLevel="0" collapsed="false">
      <c r="B32" s="20" t="s">
        <v>71</v>
      </c>
      <c r="C32" s="20"/>
      <c r="D32" s="20"/>
      <c r="E32" s="20"/>
      <c r="F32" s="20"/>
      <c r="G32" s="20"/>
      <c r="H32" s="20"/>
      <c r="I32" s="20"/>
    </row>
    <row r="34" customFormat="false" ht="15" hidden="false" customHeight="false" outlineLevel="0" collapsed="false">
      <c r="B34" s="7" t="s">
        <v>72</v>
      </c>
    </row>
    <row r="35" customFormat="false" ht="15" hidden="false" customHeight="false" outlineLevel="0" collapsed="false">
      <c r="B35" s="3" t="s">
        <v>73</v>
      </c>
      <c r="C35" s="3" t="s">
        <v>74</v>
      </c>
      <c r="D35" s="3" t="s">
        <v>75</v>
      </c>
      <c r="E35" s="3" t="s">
        <v>76</v>
      </c>
    </row>
    <row r="36" customFormat="false" ht="15" hidden="false" customHeight="false" outlineLevel="0" collapsed="false">
      <c r="B36" s="18" t="n">
        <v>0</v>
      </c>
      <c r="C36" s="24" t="n">
        <f aca="false">(1+$C$7)*$C$12</f>
        <v>231</v>
      </c>
      <c r="D36" s="24" t="n">
        <f aca="false">(1+$C$9)*$C$28</f>
        <v>236</v>
      </c>
      <c r="E36" s="24"/>
    </row>
    <row r="37" customFormat="false" ht="15" hidden="false" customHeight="false" outlineLevel="0" collapsed="false">
      <c r="B37" s="24" t="n">
        <f aca="false">$C$5</f>
        <v>100</v>
      </c>
      <c r="C37" s="24" t="n">
        <f aca="false">$C$6</f>
        <v>126</v>
      </c>
      <c r="D37" s="24" t="n">
        <f aca="false">$C$6</f>
        <v>126</v>
      </c>
      <c r="E37" s="24" t="n">
        <f aca="false">$C$6</f>
        <v>126</v>
      </c>
    </row>
    <row r="38" customFormat="false" ht="15" hidden="false" customHeight="false" outlineLevel="0" collapsed="false">
      <c r="B38" s="24" t="n">
        <f aca="false">$C$12</f>
        <v>220</v>
      </c>
      <c r="C38" s="24" t="n">
        <v>0</v>
      </c>
      <c r="D38" s="24"/>
      <c r="E38" s="24"/>
    </row>
    <row r="39" customFormat="false" ht="15" hidden="false" customHeight="false" outlineLevel="0" collapsed="false">
      <c r="B39" s="24" t="n">
        <f aca="false">$C$28</f>
        <v>214.545454545455</v>
      </c>
      <c r="C39" s="24"/>
      <c r="D39" s="24" t="n">
        <v>0</v>
      </c>
      <c r="E39" s="24"/>
    </row>
  </sheetData>
  <mergeCells count="9">
    <mergeCell ref="B1:J1"/>
    <mergeCell ref="B2:J2"/>
    <mergeCell ref="B4:J4"/>
    <mergeCell ref="B11:J11"/>
    <mergeCell ref="B14:J14"/>
    <mergeCell ref="B18:I18"/>
    <mergeCell ref="B20:J20"/>
    <mergeCell ref="B27:J27"/>
    <mergeCell ref="B32:I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77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78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43</v>
      </c>
      <c r="C5" s="14" t="n">
        <v>100</v>
      </c>
    </row>
    <row r="6" customFormat="false" ht="15" hidden="false" customHeight="false" outlineLevel="0" collapsed="false">
      <c r="B6" s="9" t="s">
        <v>44</v>
      </c>
      <c r="C6" s="14" t="n">
        <v>126</v>
      </c>
    </row>
    <row r="7" customFormat="false" ht="15" hidden="false" customHeight="false" outlineLevel="0" collapsed="false">
      <c r="B7" s="9" t="s">
        <v>45</v>
      </c>
      <c r="C7" s="15" t="n">
        <v>0.05</v>
      </c>
    </row>
    <row r="8" customFormat="false" ht="15" hidden="false" customHeight="false" outlineLevel="0" collapsed="false">
      <c r="B8" s="9" t="s">
        <v>79</v>
      </c>
      <c r="C8" s="14" t="n">
        <v>0.95</v>
      </c>
    </row>
    <row r="10" customFormat="false" ht="15" hidden="false" customHeight="false" outlineLevel="0" collapsed="false">
      <c r="B10" s="13" t="s">
        <v>80</v>
      </c>
      <c r="C10" s="1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B11" s="7" t="s">
        <v>81</v>
      </c>
      <c r="C11" s="25" t="n">
        <f aca="false">$C$8*(1+$C$7)</f>
        <v>0.9975</v>
      </c>
    </row>
    <row r="12" customFormat="false" ht="15" hidden="false" customHeight="false" outlineLevel="0" collapsed="false">
      <c r="B12" s="9" t="s">
        <v>82</v>
      </c>
      <c r="C12" s="22" t="str">
        <f aca="false">IF($C$11&gt;1,"Creciente: el mercado paga más que la impaciencia",IF($C$11&lt;1,"Decreciente: el hogar es más impaciente que el mercado","Plano"))</f>
        <v>Decreciente: el hogar es más impaciente que el mercado</v>
      </c>
    </row>
    <row r="14" customFormat="false" ht="15" hidden="false" customHeight="false" outlineLevel="0" collapsed="false">
      <c r="B14" s="13" t="s">
        <v>83</v>
      </c>
      <c r="C14" s="13"/>
      <c r="D14" s="13"/>
      <c r="E14" s="13"/>
      <c r="F14" s="13"/>
      <c r="G14" s="13"/>
      <c r="H14" s="13"/>
      <c r="I14" s="13"/>
      <c r="J14" s="13"/>
    </row>
    <row r="15" customFormat="false" ht="15" hidden="false" customHeight="false" outlineLevel="0" collapsed="false">
      <c r="B15" s="7" t="s">
        <v>84</v>
      </c>
      <c r="C15" s="17" t="n">
        <f aca="false">$C$5+$C$6/(1+$C$7)</f>
        <v>220</v>
      </c>
    </row>
    <row r="16" customFormat="false" ht="15" hidden="false" customHeight="false" outlineLevel="0" collapsed="false">
      <c r="B16" s="7" t="s">
        <v>85</v>
      </c>
      <c r="C16" s="17" t="n">
        <f aca="false">$C$15/(1+$C$8)</f>
        <v>112.820512820513</v>
      </c>
    </row>
    <row r="17" customFormat="false" ht="15" hidden="false" customHeight="false" outlineLevel="0" collapsed="false">
      <c r="B17" s="7" t="s">
        <v>86</v>
      </c>
      <c r="C17" s="17" t="n">
        <f aca="false">$C$11*$C$16</f>
        <v>112.538461538462</v>
      </c>
    </row>
    <row r="18" customFormat="false" ht="15" hidden="false" customHeight="false" outlineLevel="0" collapsed="false">
      <c r="B18" s="7" t="s">
        <v>59</v>
      </c>
      <c r="C18" s="17" t="n">
        <f aca="false">$C$5-$C$16</f>
        <v>-12.8205128205128</v>
      </c>
    </row>
    <row r="19" customFormat="false" ht="15" hidden="false" customHeight="false" outlineLevel="0" collapsed="false">
      <c r="B19" s="9" t="s">
        <v>87</v>
      </c>
      <c r="C19" s="21" t="n">
        <f aca="false">$C$16+$C$17/(1+$C$7)-$C$15</f>
        <v>0</v>
      </c>
    </row>
    <row r="20" customFormat="false" ht="15" hidden="false" customHeight="false" outlineLevel="0" collapsed="false">
      <c r="B20" s="9" t="s">
        <v>88</v>
      </c>
      <c r="C20" s="21" t="n">
        <f aca="false">LN($C$16)+$C$8*LN($C$17)</f>
        <v>9.21292846515737</v>
      </c>
    </row>
    <row r="22" customFormat="false" ht="15" hidden="false" customHeight="false" outlineLevel="0" collapsed="false">
      <c r="B22" s="13" t="s">
        <v>89</v>
      </c>
      <c r="C22" s="13"/>
      <c r="D22" s="13"/>
      <c r="E22" s="13"/>
      <c r="F22" s="13"/>
      <c r="G22" s="13"/>
      <c r="H22" s="13"/>
      <c r="I22" s="13"/>
      <c r="J22" s="13"/>
    </row>
    <row r="23" customFormat="false" ht="15" hidden="false" customHeight="false" outlineLevel="0" collapsed="false">
      <c r="B23" s="7" t="s">
        <v>90</v>
      </c>
      <c r="C23" s="25" t="n">
        <f aca="false">1/(1+$C$8)</f>
        <v>0.512820512820513</v>
      </c>
      <c r="D23" s="16" t="s">
        <v>91</v>
      </c>
    </row>
    <row r="24" customFormat="false" ht="15" hidden="false" customHeight="false" outlineLevel="0" collapsed="false">
      <c r="B24" s="9" t="s">
        <v>92</v>
      </c>
      <c r="C24" s="21" t="n">
        <f aca="false">$C$16/$C$15</f>
        <v>0.512820512820513</v>
      </c>
      <c r="D24" s="16" t="s">
        <v>93</v>
      </c>
    </row>
    <row r="26" customFormat="false" ht="15" hidden="false" customHeight="false" outlineLevel="0" collapsed="false">
      <c r="B26" s="13" t="s">
        <v>94</v>
      </c>
      <c r="C26" s="13"/>
      <c r="D26" s="13"/>
      <c r="E26" s="13"/>
      <c r="F26" s="13"/>
      <c r="G26" s="13"/>
      <c r="H26" s="13"/>
      <c r="I26" s="13"/>
      <c r="J26" s="13"/>
    </row>
    <row r="27" customFormat="false" ht="15" hidden="false" customHeight="false" outlineLevel="0" collapsed="false">
      <c r="B27" s="3" t="s">
        <v>95</v>
      </c>
      <c r="C27" s="3" t="s">
        <v>96</v>
      </c>
      <c r="D27" s="3" t="s">
        <v>73</v>
      </c>
      <c r="E27" s="3" t="s">
        <v>97</v>
      </c>
      <c r="F27" s="3" t="s">
        <v>98</v>
      </c>
      <c r="G27" s="3" t="s">
        <v>99</v>
      </c>
    </row>
    <row r="28" customFormat="false" ht="15" hidden="false" customHeight="false" outlineLevel="0" collapsed="false">
      <c r="B28" s="23" t="n">
        <v>0</v>
      </c>
      <c r="C28" s="18" t="n">
        <f aca="false">$C$5+$C$6/(1+B28)</f>
        <v>226</v>
      </c>
      <c r="D28" s="18" t="n">
        <f aca="false">C28/(1+$C$8)</f>
        <v>115.897435897436</v>
      </c>
      <c r="E28" s="18" t="n">
        <f aca="false">$C$8*(1+B28)*D28</f>
        <v>110.102564102564</v>
      </c>
      <c r="F28" s="18" t="n">
        <f aca="false">$C$5-D28</f>
        <v>-15.8974358974359</v>
      </c>
      <c r="G28" s="21" t="n">
        <f aca="false">D28/C28</f>
        <v>0.512820512820513</v>
      </c>
    </row>
    <row r="29" customFormat="false" ht="15" hidden="false" customHeight="false" outlineLevel="0" collapsed="false">
      <c r="B29" s="23" t="n">
        <v>0.02</v>
      </c>
      <c r="C29" s="18" t="n">
        <f aca="false">$C$5+$C$6/(1+B29)</f>
        <v>223.529411764706</v>
      </c>
      <c r="D29" s="18" t="n">
        <f aca="false">C29/(1+$C$8)</f>
        <v>114.630467571644</v>
      </c>
      <c r="E29" s="18" t="n">
        <f aca="false">$C$8*(1+B29)*D29</f>
        <v>111.076923076923</v>
      </c>
      <c r="F29" s="18" t="n">
        <f aca="false">$C$5-D29</f>
        <v>-14.630467571644</v>
      </c>
      <c r="G29" s="21" t="n">
        <f aca="false">D29/C29</f>
        <v>0.512820512820513</v>
      </c>
    </row>
    <row r="30" customFormat="false" ht="15" hidden="false" customHeight="false" outlineLevel="0" collapsed="false">
      <c r="B30" s="23" t="n">
        <v>0.05</v>
      </c>
      <c r="C30" s="18" t="n">
        <f aca="false">$C$5+$C$6/(1+B30)</f>
        <v>220</v>
      </c>
      <c r="D30" s="18" t="n">
        <f aca="false">C30/(1+$C$8)</f>
        <v>112.820512820513</v>
      </c>
      <c r="E30" s="18" t="n">
        <f aca="false">$C$8*(1+B30)*D30</f>
        <v>112.538461538462</v>
      </c>
      <c r="F30" s="18" t="n">
        <f aca="false">$C$5-D30</f>
        <v>-12.8205128205128</v>
      </c>
      <c r="G30" s="21" t="n">
        <f aca="false">D30/C30</f>
        <v>0.512820512820513</v>
      </c>
    </row>
    <row r="31" customFormat="false" ht="15" hidden="false" customHeight="false" outlineLevel="0" collapsed="false">
      <c r="B31" s="23" t="n">
        <v>0.08</v>
      </c>
      <c r="C31" s="18" t="n">
        <f aca="false">$C$5+$C$6/(1+B31)</f>
        <v>216.666666666667</v>
      </c>
      <c r="D31" s="18" t="n">
        <f aca="false">C31/(1+$C$8)</f>
        <v>111.111111111111</v>
      </c>
      <c r="E31" s="18" t="n">
        <f aca="false">$C$8*(1+B31)*D31</f>
        <v>114</v>
      </c>
      <c r="F31" s="18" t="n">
        <f aca="false">$C$5-D31</f>
        <v>-11.1111111111111</v>
      </c>
      <c r="G31" s="21" t="n">
        <f aca="false">D31/C31</f>
        <v>0.512820512820513</v>
      </c>
    </row>
    <row r="32" customFormat="false" ht="15" hidden="false" customHeight="false" outlineLevel="0" collapsed="false">
      <c r="B32" s="23" t="n">
        <v>0.1</v>
      </c>
      <c r="C32" s="18" t="n">
        <f aca="false">$C$5+$C$6/(1+B32)</f>
        <v>214.545454545455</v>
      </c>
      <c r="D32" s="18" t="n">
        <f aca="false">C32/(1+$C$8)</f>
        <v>110.02331002331</v>
      </c>
      <c r="E32" s="18" t="n">
        <f aca="false">$C$8*(1+B32)*D32</f>
        <v>114.974358974359</v>
      </c>
      <c r="F32" s="18" t="n">
        <f aca="false">$C$5-D32</f>
        <v>-10.02331002331</v>
      </c>
      <c r="G32" s="21" t="n">
        <f aca="false">D32/C32</f>
        <v>0.512820512820513</v>
      </c>
    </row>
    <row r="33" customFormat="false" ht="15" hidden="false" customHeight="false" outlineLevel="0" collapsed="false">
      <c r="B33" s="23" t="n">
        <v>0.15</v>
      </c>
      <c r="C33" s="18" t="n">
        <f aca="false">$C$5+$C$6/(1+B33)</f>
        <v>209.565217391304</v>
      </c>
      <c r="D33" s="18" t="n">
        <f aca="false">C33/(1+$C$8)</f>
        <v>107.469342251951</v>
      </c>
      <c r="E33" s="18" t="n">
        <f aca="false">$C$8*(1+B33)*D33</f>
        <v>117.410256410256</v>
      </c>
      <c r="F33" s="18" t="n">
        <f aca="false">$C$5-D33</f>
        <v>-7.46934225195096</v>
      </c>
      <c r="G33" s="21" t="n">
        <f aca="false">D33/C33</f>
        <v>0.512820512820513</v>
      </c>
    </row>
    <row r="34" customFormat="false" ht="39" hidden="false" customHeight="true" outlineLevel="0" collapsed="false">
      <c r="B34" s="20" t="s">
        <v>100</v>
      </c>
      <c r="C34" s="20"/>
      <c r="D34" s="20"/>
      <c r="E34" s="20"/>
      <c r="F34" s="20"/>
      <c r="G34" s="20"/>
      <c r="H34" s="20"/>
      <c r="I34" s="20"/>
    </row>
  </sheetData>
  <mergeCells count="8">
    <mergeCell ref="B1:J1"/>
    <mergeCell ref="B2:J2"/>
    <mergeCell ref="B4:J4"/>
    <mergeCell ref="B10:J10"/>
    <mergeCell ref="B14:J14"/>
    <mergeCell ref="B22:J22"/>
    <mergeCell ref="B26:J26"/>
    <mergeCell ref="B34:I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101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102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103</v>
      </c>
      <c r="C5" s="14" t="n">
        <v>200</v>
      </c>
    </row>
    <row r="6" customFormat="false" ht="15" hidden="false" customHeight="false" outlineLevel="0" collapsed="false">
      <c r="B6" s="9" t="s">
        <v>104</v>
      </c>
      <c r="C6" s="14" t="n">
        <v>21</v>
      </c>
    </row>
    <row r="7" customFormat="false" ht="15" hidden="false" customHeight="false" outlineLevel="0" collapsed="false">
      <c r="B7" s="9" t="s">
        <v>79</v>
      </c>
      <c r="C7" s="14" t="n">
        <v>0.95</v>
      </c>
    </row>
    <row r="8" customFormat="false" ht="15" hidden="false" customHeight="false" outlineLevel="0" collapsed="false">
      <c r="B8" s="9" t="s">
        <v>105</v>
      </c>
      <c r="C8" s="15" t="n">
        <v>0.05</v>
      </c>
    </row>
    <row r="9" customFormat="false" ht="15" hidden="false" customHeight="false" outlineLevel="0" collapsed="false">
      <c r="B9" s="9" t="s">
        <v>106</v>
      </c>
      <c r="C9" s="15" t="n">
        <v>0.1</v>
      </c>
    </row>
    <row r="11" customFormat="false" ht="15" hidden="false" customHeight="false" outlineLevel="0" collapsed="false">
      <c r="B11" s="13" t="s">
        <v>107</v>
      </c>
      <c r="C11" s="13"/>
      <c r="D11" s="13"/>
      <c r="E11" s="13"/>
      <c r="F11" s="13"/>
      <c r="G11" s="13"/>
      <c r="H11" s="13"/>
      <c r="I11" s="13"/>
      <c r="J11" s="13"/>
    </row>
    <row r="12" customFormat="false" ht="15" hidden="false" customHeight="false" outlineLevel="0" collapsed="false">
      <c r="B12" s="7" t="s">
        <v>108</v>
      </c>
      <c r="C12" s="17" t="n">
        <f aca="false">$C$5+$C$6/(1+$C$8)</f>
        <v>220</v>
      </c>
    </row>
    <row r="13" customFormat="false" ht="15" hidden="false" customHeight="false" outlineLevel="0" collapsed="false">
      <c r="B13" s="7" t="s">
        <v>109</v>
      </c>
      <c r="C13" s="17" t="n">
        <f aca="false">$C$5+$C$6/(1+$C$9)</f>
        <v>219.090909090909</v>
      </c>
    </row>
    <row r="14" customFormat="false" ht="15" hidden="false" customHeight="false" outlineLevel="0" collapsed="false">
      <c r="B14" s="9" t="s">
        <v>110</v>
      </c>
      <c r="C14" s="18" t="n">
        <f aca="false">$C$13-$C$12</f>
        <v>-0.909090909090907</v>
      </c>
      <c r="D14" s="16" t="s">
        <v>111</v>
      </c>
    </row>
    <row r="16" customFormat="false" ht="15" hidden="false" customHeight="false" outlineLevel="0" collapsed="false">
      <c r="B16" s="13" t="s">
        <v>112</v>
      </c>
      <c r="C16" s="13"/>
      <c r="D16" s="13"/>
      <c r="E16" s="13"/>
      <c r="F16" s="13"/>
      <c r="G16" s="13"/>
      <c r="H16" s="13"/>
      <c r="I16" s="13"/>
      <c r="J16" s="13"/>
    </row>
    <row r="17" customFormat="false" ht="15" hidden="false" customHeight="false" outlineLevel="0" collapsed="false">
      <c r="B17" s="3" t="s">
        <v>113</v>
      </c>
      <c r="C17" s="3" t="s">
        <v>114</v>
      </c>
      <c r="D17" s="3" t="s">
        <v>115</v>
      </c>
      <c r="E17" s="3" t="s">
        <v>116</v>
      </c>
      <c r="F17" s="3" t="s">
        <v>117</v>
      </c>
      <c r="G17" s="3" t="s">
        <v>118</v>
      </c>
      <c r="H17" s="3" t="s">
        <v>119</v>
      </c>
    </row>
    <row r="18" customFormat="false" ht="15" hidden="false" customHeight="false" outlineLevel="0" collapsed="false">
      <c r="B18" s="14" t="n">
        <v>0.5</v>
      </c>
      <c r="C18" s="18" t="n">
        <f aca="false">$C$12/(1+$C$7^(1/B18)*(1+$C$8)^((1-B18)/B18))</f>
        <v>112.958089981388</v>
      </c>
      <c r="D18" s="18" t="n">
        <f aca="false">$C$5-C18</f>
        <v>87.0419100186124</v>
      </c>
      <c r="E18" s="18" t="n">
        <f aca="false">$C$13/(1+$C$7^(1/B18)*(1+$C$9)^((1-B18)/B18))</f>
        <v>109.944001551077</v>
      </c>
      <c r="F18" s="18" t="n">
        <f aca="false">$C$5-E18</f>
        <v>90.0559984489228</v>
      </c>
      <c r="G18" s="18" t="n">
        <f aca="false">F18-D18</f>
        <v>3.01408843031038</v>
      </c>
      <c r="H18" s="23" t="n">
        <f aca="false">F18/D18-1</f>
        <v>0.0346280134439361</v>
      </c>
    </row>
    <row r="19" customFormat="false" ht="15" hidden="false" customHeight="false" outlineLevel="0" collapsed="false">
      <c r="B19" s="14" t="n">
        <v>1</v>
      </c>
      <c r="C19" s="18" t="n">
        <f aca="false">$C$12/(1+$C$7^(1/B19)*(1+$C$8)^((1-B19)/B19))</f>
        <v>112.820512820513</v>
      </c>
      <c r="D19" s="18" t="n">
        <f aca="false">$C$5-C19</f>
        <v>87.1794871794872</v>
      </c>
      <c r="E19" s="18" t="n">
        <f aca="false">$C$13/(1+$C$7^(1/B19)*(1+$C$9)^((1-B19)/B19))</f>
        <v>112.354312354312</v>
      </c>
      <c r="F19" s="18" t="n">
        <f aca="false">$C$5-E19</f>
        <v>87.6456876456876</v>
      </c>
      <c r="G19" s="18" t="n">
        <f aca="false">F19-D19</f>
        <v>0.466200466200462</v>
      </c>
      <c r="H19" s="23" t="n">
        <f aca="false">F19/D19-1</f>
        <v>0.00534759358288772</v>
      </c>
    </row>
    <row r="20" customFormat="false" ht="15" hidden="false" customHeight="false" outlineLevel="0" collapsed="false">
      <c r="B20" s="14" t="n">
        <v>2</v>
      </c>
      <c r="C20" s="18" t="n">
        <f aca="false">$C$12/(1+$C$7^(1/B20)*(1+$C$8)^((1-B20)/B20))</f>
        <v>112.7517209018</v>
      </c>
      <c r="D20" s="18" t="n">
        <f aca="false">$C$5-C20</f>
        <v>87.2482790981997</v>
      </c>
      <c r="E20" s="18" t="n">
        <f aca="false">$C$13/(1+$C$7^(1/B20)*(1+$C$9)^((1-B20)/B20))</f>
        <v>113.558593829433</v>
      </c>
      <c r="F20" s="18" t="n">
        <f aca="false">$C$5-E20</f>
        <v>86.4414061705668</v>
      </c>
      <c r="G20" s="18" t="n">
        <f aca="false">F20-D20</f>
        <v>-0.806872927632924</v>
      </c>
      <c r="H20" s="23" t="n">
        <f aca="false">F20/D20-1</f>
        <v>-0.00924800965672656</v>
      </c>
    </row>
    <row r="22" customFormat="false" ht="15" hidden="false" customHeight="false" outlineLevel="0" collapsed="false">
      <c r="B22" s="13" t="s">
        <v>120</v>
      </c>
      <c r="C22" s="13"/>
      <c r="D22" s="13"/>
      <c r="E22" s="13"/>
      <c r="F22" s="13"/>
      <c r="G22" s="13"/>
      <c r="H22" s="13"/>
      <c r="I22" s="13"/>
      <c r="J22" s="13"/>
    </row>
    <row r="23" customFormat="false" ht="12.75" hidden="false" customHeight="true" outlineLevel="0" collapsed="false">
      <c r="B23" s="20" t="s">
        <v>121</v>
      </c>
      <c r="C23" s="20"/>
      <c r="D23" s="20"/>
      <c r="E23" s="20"/>
      <c r="F23" s="20"/>
      <c r="G23" s="20"/>
      <c r="H23" s="20"/>
      <c r="I23" s="20"/>
    </row>
    <row r="24" customFormat="false" ht="12.75" hidden="false" customHeight="true" outlineLevel="0" collapsed="false">
      <c r="B24" s="20" t="s">
        <v>122</v>
      </c>
      <c r="C24" s="20"/>
      <c r="D24" s="20"/>
      <c r="E24" s="20"/>
      <c r="F24" s="20"/>
      <c r="G24" s="20"/>
      <c r="H24" s="20"/>
      <c r="I24" s="20"/>
    </row>
    <row r="25" customFormat="false" ht="12.75" hidden="false" customHeight="true" outlineLevel="0" collapsed="false">
      <c r="B25" s="20" t="s">
        <v>123</v>
      </c>
      <c r="C25" s="20"/>
      <c r="D25" s="20"/>
      <c r="E25" s="20"/>
      <c r="F25" s="20"/>
      <c r="G25" s="20"/>
      <c r="H25" s="20"/>
      <c r="I25" s="20"/>
    </row>
    <row r="26" customFormat="false" ht="39" hidden="false" customHeight="true" outlineLevel="0" collapsed="false">
      <c r="B26" s="20" t="s">
        <v>124</v>
      </c>
      <c r="C26" s="20"/>
      <c r="D26" s="20"/>
      <c r="E26" s="20"/>
      <c r="F26" s="20"/>
      <c r="G26" s="20"/>
      <c r="H26" s="20"/>
      <c r="I26" s="20"/>
    </row>
    <row r="28" customFormat="false" ht="15" hidden="false" customHeight="false" outlineLevel="0" collapsed="false">
      <c r="B28" s="13" t="s">
        <v>125</v>
      </c>
      <c r="C28" s="13"/>
      <c r="D28" s="13"/>
      <c r="E28" s="13"/>
      <c r="F28" s="13"/>
      <c r="G28" s="13"/>
      <c r="H28" s="13"/>
      <c r="I28" s="13"/>
      <c r="J28" s="13"/>
    </row>
    <row r="29" customFormat="false" ht="15" hidden="false" customHeight="false" outlineLevel="0" collapsed="false">
      <c r="B29" s="3" t="s">
        <v>126</v>
      </c>
      <c r="C29" s="3" t="s">
        <v>115</v>
      </c>
      <c r="D29" s="3" t="s">
        <v>117</v>
      </c>
      <c r="E29" s="3" t="s">
        <v>118</v>
      </c>
    </row>
    <row r="30" customFormat="false" ht="15" hidden="false" customHeight="false" outlineLevel="0" collapsed="false">
      <c r="B30" s="18" t="n">
        <v>0.25</v>
      </c>
      <c r="C30" s="18" t="n">
        <f aca="false">$C$5-$C$12/(1+$C$7^(1/B30)*(1+$C$8)^((1-B30)/B30))</f>
        <v>86.7667839083091</v>
      </c>
      <c r="D30" s="18" t="n">
        <f aca="false">$C$5-$C$13/(1+$C$7^(1/B30)*(1+$C$9)^((1-B30)/B30))</f>
        <v>94.8754440054283</v>
      </c>
      <c r="E30" s="19" t="n">
        <f aca="false">D30-C30</f>
        <v>8.10866009711917</v>
      </c>
    </row>
    <row r="31" customFormat="false" ht="15" hidden="false" customHeight="false" outlineLevel="0" collapsed="false">
      <c r="B31" s="18" t="n">
        <v>0.4</v>
      </c>
      <c r="C31" s="18" t="n">
        <f aca="false">$C$5-$C$12/(1+$C$7^(1/B31)*(1+$C$8)^((1-B31)/B31))</f>
        <v>86.9731248839785</v>
      </c>
      <c r="D31" s="18" t="n">
        <f aca="false">$C$5-$C$13/(1+$C$7^(1/B31)*(1+$C$9)^((1-B31)/B31))</f>
        <v>91.2614445270494</v>
      </c>
      <c r="E31" s="19" t="n">
        <f aca="false">D31-C31</f>
        <v>4.28831964307085</v>
      </c>
    </row>
    <row r="32" customFormat="false" ht="15" hidden="false" customHeight="false" outlineLevel="0" collapsed="false">
      <c r="B32" s="18" t="n">
        <v>0.5</v>
      </c>
      <c r="C32" s="18" t="n">
        <f aca="false">$C$5-$C$12/(1+$C$7^(1/B32)*(1+$C$8)^((1-B32)/B32))</f>
        <v>87.0419100186124</v>
      </c>
      <c r="D32" s="18" t="n">
        <f aca="false">$C$5-$C$13/(1+$C$7^(1/B32)*(1+$C$9)^((1-B32)/B32))</f>
        <v>90.0559984489228</v>
      </c>
      <c r="E32" s="19" t="n">
        <f aca="false">D32-C32</f>
        <v>3.01408843031038</v>
      </c>
    </row>
    <row r="33" customFormat="false" ht="15" hidden="false" customHeight="false" outlineLevel="0" collapsed="false">
      <c r="B33" s="18" t="n">
        <v>0.6</v>
      </c>
      <c r="C33" s="18" t="n">
        <f aca="false">$C$5-$C$12/(1+$C$7^(1/B33)*(1+$C$8)^((1-B33)/B33))</f>
        <v>87.0877680645326</v>
      </c>
      <c r="D33" s="18" t="n">
        <f aca="false">$C$5-$C$13/(1+$C$7^(1/B33)*(1+$C$9)^((1-B33)/B33))</f>
        <v>89.2524033305253</v>
      </c>
      <c r="E33" s="19" t="n">
        <f aca="false">D33-C33</f>
        <v>2.1646352659927</v>
      </c>
    </row>
    <row r="34" customFormat="false" ht="15" hidden="false" customHeight="false" outlineLevel="0" collapsed="false">
      <c r="B34" s="18" t="n">
        <v>0.75</v>
      </c>
      <c r="C34" s="18" t="n">
        <f aca="false">$C$5-$C$12/(1+$C$7^(1/B34)*(1+$C$8)^((1-B34)/B34))</f>
        <v>87.1336271234676</v>
      </c>
      <c r="D34" s="18" t="n">
        <f aca="false">$C$5-$C$13/(1+$C$7^(1/B34)*(1+$C$9)^((1-B34)/B34))</f>
        <v>88.4489375882249</v>
      </c>
      <c r="E34" s="19" t="n">
        <f aca="false">D34-C34</f>
        <v>1.31531046475733</v>
      </c>
    </row>
    <row r="35" customFormat="false" ht="15" hidden="false" customHeight="false" outlineLevel="0" collapsed="false">
      <c r="B35" s="18" t="n">
        <v>0.9</v>
      </c>
      <c r="C35" s="18" t="n">
        <f aca="false">$C$5-$C$12/(1+$C$7^(1/B35)*(1+$C$8)^((1-B35)/B35))</f>
        <v>87.1642003843435</v>
      </c>
      <c r="D35" s="18" t="n">
        <f aca="false">$C$5-$C$13/(1+$C$7^(1/B35)*(1+$C$9)^((1-B35)/B35))</f>
        <v>87.9134083174016</v>
      </c>
      <c r="E35" s="19" t="n">
        <f aca="false">D35-C35</f>
        <v>0.749207933058031</v>
      </c>
    </row>
    <row r="36" customFormat="false" ht="15" hidden="false" customHeight="false" outlineLevel="0" collapsed="false">
      <c r="B36" s="18" t="n">
        <v>1</v>
      </c>
      <c r="C36" s="18" t="n">
        <f aca="false">$C$5-$C$12/(1+$C$7^(1/B36)*(1+$C$8)^((1-B36)/B36))</f>
        <v>87.1794871794872</v>
      </c>
      <c r="D36" s="18" t="n">
        <f aca="false">$C$5-$C$13/(1+$C$7^(1/B36)*(1+$C$9)^((1-B36)/B36))</f>
        <v>87.6456876456876</v>
      </c>
      <c r="E36" s="19" t="n">
        <f aca="false">D36-C36</f>
        <v>0.466200466200462</v>
      </c>
    </row>
    <row r="37" customFormat="false" ht="15" hidden="false" customHeight="false" outlineLevel="0" collapsed="false">
      <c r="B37" s="18" t="n">
        <v>1.1</v>
      </c>
      <c r="C37" s="18" t="n">
        <f aca="false">$C$5-$C$12/(1+$C$7^(1/B37)*(1+$C$8)^((1-B37)/B37))</f>
        <v>87.1919946384456</v>
      </c>
      <c r="D37" s="18" t="n">
        <f aca="false">$C$5-$C$13/(1+$C$7^(1/B37)*(1+$C$9)^((1-B37)/B37))</f>
        <v>87.4266682859758</v>
      </c>
      <c r="E37" s="19" t="n">
        <f aca="false">D37-C37</f>
        <v>0.234673647530173</v>
      </c>
    </row>
    <row r="38" customFormat="false" ht="15" hidden="false" customHeight="false" outlineLevel="0" collapsed="false">
      <c r="B38" s="18" t="n">
        <v>1.25</v>
      </c>
      <c r="C38" s="18" t="n">
        <f aca="false">$C$5-$C$12/(1+$C$7^(1/B38)*(1+$C$8)^((1-B38)/B38))</f>
        <v>87.2070036850721</v>
      </c>
      <c r="D38" s="18" t="n">
        <f aca="false">$C$5-$C$13/(1+$C$7^(1/B38)*(1+$C$9)^((1-B38)/B38))</f>
        <v>87.163877182643</v>
      </c>
      <c r="E38" s="19" t="n">
        <f aca="false">D38-C38</f>
        <v>-0.0431265024291179</v>
      </c>
    </row>
    <row r="39" customFormat="false" ht="15" hidden="false" customHeight="false" outlineLevel="0" collapsed="false">
      <c r="B39" s="18" t="n">
        <v>1.5</v>
      </c>
      <c r="C39" s="18" t="n">
        <f aca="false">$C$5-$C$12/(1+$C$7^(1/B39)*(1+$C$8)^((1-B39)/B39))</f>
        <v>87.2253482166599</v>
      </c>
      <c r="D39" s="18" t="n">
        <f aca="false">$C$5-$C$13/(1+$C$7^(1/B39)*(1+$C$9)^((1-B39)/B39))</f>
        <v>86.8427398337239</v>
      </c>
      <c r="E39" s="19" t="n">
        <f aca="false">D39-C39</f>
        <v>-0.382608382935956</v>
      </c>
    </row>
    <row r="40" customFormat="false" ht="15" hidden="false" customHeight="false" outlineLevel="0" collapsed="false">
      <c r="B40" s="18" t="n">
        <v>2</v>
      </c>
      <c r="C40" s="18" t="n">
        <f aca="false">$C$5-$C$12/(1+$C$7^(1/B40)*(1+$C$8)^((1-B40)/B40))</f>
        <v>87.2482790981997</v>
      </c>
      <c r="D40" s="18" t="n">
        <f aca="false">$C$5-$C$13/(1+$C$7^(1/B40)*(1+$C$9)^((1-B40)/B40))</f>
        <v>86.4414061705668</v>
      </c>
      <c r="E40" s="19" t="n">
        <f aca="false">D40-C40</f>
        <v>-0.806872927632924</v>
      </c>
    </row>
    <row r="41" customFormat="false" ht="15" hidden="false" customHeight="false" outlineLevel="0" collapsed="false">
      <c r="B41" s="18" t="n">
        <v>2.5</v>
      </c>
      <c r="C41" s="18" t="n">
        <f aca="false">$C$5-$C$12/(1+$C$7^(1/B41)*(1+$C$8)^((1-B41)/B41))</f>
        <v>87.2620377421214</v>
      </c>
      <c r="D41" s="18" t="n">
        <f aca="false">$C$5-$C$13/(1+$C$7^(1/B41)*(1+$C$9)^((1-B41)/B41))</f>
        <v>86.2006570504617</v>
      </c>
      <c r="E41" s="19" t="n">
        <f aca="false">D41-C41</f>
        <v>-1.06138069165972</v>
      </c>
    </row>
    <row r="42" customFormat="false" ht="15" hidden="false" customHeight="false" outlineLevel="0" collapsed="false">
      <c r="B42" s="18" t="n">
        <v>3</v>
      </c>
      <c r="C42" s="18" t="n">
        <f aca="false">$C$5-$C$12/(1+$C$7^(1/B42)*(1+$C$8)^((1-B42)/B42))</f>
        <v>87.2712102190528</v>
      </c>
      <c r="D42" s="18" t="n">
        <f aca="false">$C$5-$C$13/(1+$C$7^(1/B42)*(1+$C$9)^((1-B42)/B42))</f>
        <v>86.0401803532045</v>
      </c>
      <c r="E42" s="19" t="n">
        <f aca="false">D42-C42</f>
        <v>-1.23102986584829</v>
      </c>
    </row>
  </sheetData>
  <mergeCells count="11">
    <mergeCell ref="B1:J1"/>
    <mergeCell ref="B2:J2"/>
    <mergeCell ref="B4:J4"/>
    <mergeCell ref="B11:J11"/>
    <mergeCell ref="B16:J16"/>
    <mergeCell ref="B22:J22"/>
    <mergeCell ref="B23:I23"/>
    <mergeCell ref="B24:I24"/>
    <mergeCell ref="B25:I25"/>
    <mergeCell ref="B26:I26"/>
    <mergeCell ref="B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127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128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103</v>
      </c>
      <c r="C5" s="14" t="n">
        <v>200</v>
      </c>
    </row>
    <row r="6" customFormat="false" ht="15" hidden="false" customHeight="false" outlineLevel="0" collapsed="false">
      <c r="B6" s="9" t="s">
        <v>104</v>
      </c>
      <c r="C6" s="14" t="n">
        <v>21</v>
      </c>
    </row>
    <row r="7" customFormat="false" ht="15" hidden="false" customHeight="false" outlineLevel="0" collapsed="false">
      <c r="B7" s="9" t="s">
        <v>79</v>
      </c>
      <c r="C7" s="14" t="n">
        <v>0.95</v>
      </c>
    </row>
    <row r="8" customFormat="false" ht="15" hidden="false" customHeight="false" outlineLevel="0" collapsed="false">
      <c r="B8" s="9" t="s">
        <v>129</v>
      </c>
      <c r="C8" s="15" t="n">
        <v>0.05</v>
      </c>
    </row>
    <row r="9" customFormat="false" ht="15" hidden="false" customHeight="false" outlineLevel="0" collapsed="false">
      <c r="B9" s="9" t="s">
        <v>130</v>
      </c>
      <c r="C9" s="15" t="n">
        <v>0.1</v>
      </c>
    </row>
    <row r="11" customFormat="false" ht="15" hidden="false" customHeight="false" outlineLevel="0" collapsed="false">
      <c r="B11" s="13" t="s">
        <v>131</v>
      </c>
      <c r="C11" s="13"/>
      <c r="D11" s="13"/>
      <c r="E11" s="13"/>
      <c r="F11" s="13"/>
      <c r="G11" s="13"/>
      <c r="H11" s="13"/>
      <c r="I11" s="13"/>
      <c r="J11" s="13"/>
    </row>
    <row r="12" customFormat="false" ht="15" hidden="false" customHeight="false" outlineLevel="0" collapsed="false">
      <c r="B12" s="3" t="s">
        <v>132</v>
      </c>
      <c r="C12" s="3" t="s">
        <v>96</v>
      </c>
      <c r="D12" s="3" t="s">
        <v>73</v>
      </c>
      <c r="E12" s="3" t="s">
        <v>97</v>
      </c>
      <c r="F12" s="3" t="s">
        <v>98</v>
      </c>
      <c r="G12" s="3" t="s">
        <v>133</v>
      </c>
    </row>
    <row r="13" customFormat="false" ht="15" hidden="false" customHeight="false" outlineLevel="0" collapsed="false">
      <c r="B13" s="26" t="s">
        <v>134</v>
      </c>
      <c r="C13" s="18" t="n">
        <f aca="false">$C$5+$C$6/(1+$C$8)</f>
        <v>220</v>
      </c>
      <c r="D13" s="18" t="n">
        <f aca="false">C13/(1+$C$7)</f>
        <v>112.820512820513</v>
      </c>
      <c r="E13" s="18" t="n">
        <f aca="false">$C$7*(1+$C$8)*D13</f>
        <v>112.538461538462</v>
      </c>
      <c r="F13" s="18" t="n">
        <f aca="false">$C$5-D13</f>
        <v>87.1794871794872</v>
      </c>
      <c r="G13" s="27" t="n">
        <f aca="false">LN(D13)+$C$7*LN(E13)</f>
        <v>9.21292846515737</v>
      </c>
    </row>
    <row r="14" customFormat="false" ht="15" hidden="false" customHeight="false" outlineLevel="0" collapsed="false">
      <c r="B14" s="26" t="s">
        <v>135</v>
      </c>
      <c r="C14" s="18" t="n">
        <f aca="false">$C$5+$C$6/(1+$C$9)</f>
        <v>219.090909090909</v>
      </c>
      <c r="D14" s="18" t="n">
        <f aca="false">C14/(1+$C$7)</f>
        <v>112.354312354312</v>
      </c>
      <c r="E14" s="18" t="n">
        <f aca="false">$C$7*(1+$C$9)*D14</f>
        <v>117.410256410256</v>
      </c>
      <c r="F14" s="18" t="n">
        <f aca="false">$C$5-D14</f>
        <v>87.6456876456876</v>
      </c>
      <c r="G14" s="27" t="n">
        <f aca="false">LN(D14)+$C$7*LN(E14)</f>
        <v>9.24904793431175</v>
      </c>
    </row>
    <row r="15" customFormat="false" ht="15" hidden="false" customHeight="false" outlineLevel="0" collapsed="false">
      <c r="B15" s="26" t="s">
        <v>136</v>
      </c>
      <c r="C15" s="18" t="n">
        <f aca="false">D15+E15/(1+$C$9)</f>
        <v>215.070084406148</v>
      </c>
      <c r="D15" s="18" t="n">
        <f aca="false">EXP((G13-$C$7*LN($C$7*(1+$C$9)))/(1+$C$7))</f>
        <v>110.292350977512</v>
      </c>
      <c r="E15" s="18" t="n">
        <f aca="false">$C$7*(1+$C$9)*D15</f>
        <v>115.2555067715</v>
      </c>
      <c r="F15" s="18" t="n">
        <f aca="false">$C$5-D15</f>
        <v>89.707649022488</v>
      </c>
      <c r="G15" s="27" t="n">
        <f aca="false">LN(D15)+$C$7*LN(E15)</f>
        <v>9.21292846515737</v>
      </c>
    </row>
    <row r="17" customFormat="false" ht="39" hidden="false" customHeight="true" outlineLevel="0" collapsed="false">
      <c r="B17" s="20" t="s">
        <v>137</v>
      </c>
      <c r="C17" s="20"/>
      <c r="D17" s="20"/>
      <c r="E17" s="20"/>
      <c r="F17" s="20"/>
      <c r="G17" s="20"/>
      <c r="H17" s="20"/>
      <c r="I17" s="20"/>
    </row>
    <row r="18" customFormat="false" ht="15" hidden="false" customHeight="false" outlineLevel="0" collapsed="false">
      <c r="B18" s="9" t="s">
        <v>138</v>
      </c>
      <c r="C18" s="21" t="n">
        <f aca="false">G15-G13</f>
        <v>0</v>
      </c>
    </row>
    <row r="19" customFormat="false" ht="15" hidden="false" customHeight="false" outlineLevel="0" collapsed="false">
      <c r="B19" s="9" t="s">
        <v>139</v>
      </c>
      <c r="C19" s="18" t="n">
        <f aca="false">C14-C15</f>
        <v>4.02082468476064</v>
      </c>
      <c r="D19" s="16" t="s">
        <v>140</v>
      </c>
    </row>
    <row r="21" customFormat="false" ht="15" hidden="false" customHeight="false" outlineLevel="0" collapsed="false">
      <c r="B21" s="13" t="s">
        <v>141</v>
      </c>
      <c r="C21" s="13"/>
      <c r="D21" s="13"/>
      <c r="E21" s="13"/>
      <c r="F21" s="13"/>
      <c r="G21" s="13"/>
      <c r="H21" s="13"/>
      <c r="I21" s="13"/>
      <c r="J21" s="13"/>
    </row>
    <row r="22" customFormat="false" ht="15" hidden="false" customHeight="false" outlineLevel="0" collapsed="false">
      <c r="B22" s="3" t="s">
        <v>142</v>
      </c>
      <c r="C22" s="3" t="s">
        <v>143</v>
      </c>
      <c r="D22" s="3" t="s">
        <v>144</v>
      </c>
      <c r="E22" s="3" t="s">
        <v>118</v>
      </c>
    </row>
    <row r="23" customFormat="false" ht="15" hidden="false" customHeight="false" outlineLevel="0" collapsed="false">
      <c r="B23" s="28" t="s">
        <v>145</v>
      </c>
      <c r="C23" s="18" t="n">
        <f aca="false">D15-D13</f>
        <v>-2.52816184300077</v>
      </c>
      <c r="D23" s="18" t="n">
        <f aca="false">E15-E13</f>
        <v>2.71704523303855</v>
      </c>
      <c r="E23" s="18" t="n">
        <f aca="false">F15-F13</f>
        <v>2.52816184300077</v>
      </c>
    </row>
    <row r="24" customFormat="false" ht="15" hidden="false" customHeight="false" outlineLevel="0" collapsed="false">
      <c r="B24" s="28" t="s">
        <v>146</v>
      </c>
      <c r="C24" s="18" t="n">
        <f aca="false">D14-D15</f>
        <v>2.06196137680031</v>
      </c>
      <c r="D24" s="18" t="n">
        <f aca="false">E14-E15</f>
        <v>2.15474963875633</v>
      </c>
      <c r="E24" s="18" t="n">
        <f aca="false">F14-F15</f>
        <v>-2.06196137680031</v>
      </c>
    </row>
    <row r="25" customFormat="false" ht="15" hidden="false" customHeight="false" outlineLevel="0" collapsed="false">
      <c r="B25" s="26" t="s">
        <v>147</v>
      </c>
      <c r="C25" s="29" t="n">
        <f aca="false">C23+C24</f>
        <v>-0.466200466200462</v>
      </c>
      <c r="D25" s="29" t="n">
        <f aca="false">D23+D24</f>
        <v>4.87179487179488</v>
      </c>
      <c r="E25" s="29" t="n">
        <f aca="false">E23+E24</f>
        <v>0.466200466200462</v>
      </c>
    </row>
    <row r="27" customFormat="false" ht="15" hidden="false" customHeight="false" outlineLevel="0" collapsed="false">
      <c r="B27" s="9" t="s">
        <v>148</v>
      </c>
      <c r="C27" s="23" t="n">
        <f aca="false">ABS(C24)/ABS(C23)</f>
        <v>0.815597064131341</v>
      </c>
    </row>
    <row r="28" customFormat="false" ht="39" hidden="false" customHeight="true" outlineLevel="0" collapsed="false">
      <c r="B28" s="20" t="s">
        <v>149</v>
      </c>
      <c r="C28" s="20"/>
      <c r="D28" s="20"/>
      <c r="E28" s="20"/>
      <c r="F28" s="20"/>
      <c r="G28" s="20"/>
      <c r="H28" s="20"/>
      <c r="I28" s="20"/>
    </row>
  </sheetData>
  <mergeCells count="7">
    <mergeCell ref="B1:J1"/>
    <mergeCell ref="B2:J2"/>
    <mergeCell ref="B4:J4"/>
    <mergeCell ref="B11:J11"/>
    <mergeCell ref="B17:I17"/>
    <mergeCell ref="B21:J21"/>
    <mergeCell ref="B28:I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150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151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45</v>
      </c>
      <c r="C5" s="15" t="n">
        <v>0.04</v>
      </c>
    </row>
    <row r="6" customFormat="false" ht="15" hidden="false" customHeight="false" outlineLevel="0" collapsed="false">
      <c r="B6" s="9" t="s">
        <v>152</v>
      </c>
      <c r="C6" s="14" t="n">
        <v>100</v>
      </c>
    </row>
    <row r="7" customFormat="false" ht="15" hidden="false" customHeight="false" outlineLevel="0" collapsed="false">
      <c r="B7" s="9" t="s">
        <v>153</v>
      </c>
      <c r="C7" s="14" t="n">
        <v>100</v>
      </c>
    </row>
    <row r="8" customFormat="false" ht="15" hidden="false" customHeight="false" outlineLevel="0" collapsed="false">
      <c r="B8" s="9" t="s">
        <v>154</v>
      </c>
      <c r="C8" s="14" t="n">
        <v>10</v>
      </c>
    </row>
    <row r="9" customFormat="false" ht="15" hidden="false" customHeight="false" outlineLevel="0" collapsed="false">
      <c r="B9" s="9" t="s">
        <v>155</v>
      </c>
      <c r="C9" s="14" t="n">
        <v>100</v>
      </c>
    </row>
    <row r="10" customFormat="false" ht="15" hidden="false" customHeight="false" outlineLevel="0" collapsed="false">
      <c r="B10" s="9" t="s">
        <v>156</v>
      </c>
      <c r="C10" s="30" t="n">
        <v>5</v>
      </c>
    </row>
    <row r="12" customFormat="false" ht="15" hidden="false" customHeight="false" outlineLevel="0" collapsed="false">
      <c r="B12" s="13" t="s">
        <v>157</v>
      </c>
      <c r="C12" s="13"/>
      <c r="D12" s="13"/>
      <c r="E12" s="13"/>
      <c r="F12" s="13"/>
      <c r="G12" s="13"/>
      <c r="H12" s="13"/>
      <c r="I12" s="13"/>
      <c r="J12" s="13"/>
    </row>
    <row r="13" customFormat="false" ht="15" hidden="false" customHeight="false" outlineLevel="0" collapsed="false">
      <c r="B13" s="7" t="s">
        <v>158</v>
      </c>
      <c r="C13" s="17" t="n">
        <f aca="false">$C$6*(1+$C$5)/$C$5</f>
        <v>2600</v>
      </c>
      <c r="D13" s="16" t="s">
        <v>159</v>
      </c>
    </row>
    <row r="14" customFormat="false" ht="15" hidden="false" customHeight="false" outlineLevel="0" collapsed="false">
      <c r="B14" s="7" t="s">
        <v>160</v>
      </c>
      <c r="C14" s="25" t="n">
        <f aca="false">$C$5/(1+$C$5)</f>
        <v>0.0384615384615385</v>
      </c>
    </row>
    <row r="15" customFormat="false" ht="15" hidden="false" customHeight="false" outlineLevel="0" collapsed="false">
      <c r="B15" s="7" t="s">
        <v>161</v>
      </c>
      <c r="C15" s="17" t="n">
        <f aca="false">$C$14*$C$13</f>
        <v>100</v>
      </c>
      <c r="D15" s="16" t="s">
        <v>162</v>
      </c>
    </row>
    <row r="17" customFormat="false" ht="15" hidden="false" customHeight="false" outlineLevel="0" collapsed="false">
      <c r="B17" s="13" t="s">
        <v>163</v>
      </c>
      <c r="C17" s="13"/>
      <c r="D17" s="13"/>
      <c r="E17" s="13"/>
      <c r="F17" s="13"/>
      <c r="G17" s="13"/>
      <c r="H17" s="13"/>
      <c r="I17" s="13"/>
      <c r="J17" s="13"/>
    </row>
    <row r="18" customFormat="false" ht="35.05" hidden="false" customHeight="false" outlineLevel="0" collapsed="false">
      <c r="B18" s="3" t="s">
        <v>164</v>
      </c>
      <c r="C18" s="3" t="s">
        <v>110</v>
      </c>
      <c r="D18" s="3" t="s">
        <v>165</v>
      </c>
      <c r="E18" s="3" t="s">
        <v>166</v>
      </c>
      <c r="F18" s="3" t="s">
        <v>167</v>
      </c>
    </row>
    <row r="19" customFormat="false" ht="15" hidden="false" customHeight="false" outlineLevel="0" collapsed="false">
      <c r="B19" s="28" t="s">
        <v>168</v>
      </c>
      <c r="C19" s="18" t="n">
        <f aca="false">$C$7</f>
        <v>100</v>
      </c>
      <c r="D19" s="18" t="n">
        <f aca="false">$C$14*C19</f>
        <v>3.84615384615385</v>
      </c>
      <c r="E19" s="21" t="n">
        <f aca="false">D19/$C$7</f>
        <v>0.0384615384615385</v>
      </c>
      <c r="F19" s="18" t="n">
        <f aca="false">$C$7-D19</f>
        <v>96.1538461538462</v>
      </c>
    </row>
    <row r="20" customFormat="false" ht="15" hidden="false" customHeight="false" outlineLevel="0" collapsed="false">
      <c r="B20" s="28" t="s">
        <v>169</v>
      </c>
      <c r="C20" s="18" t="n">
        <f aca="false">$C$8*(1+$C$5)/$C$5</f>
        <v>260</v>
      </c>
      <c r="D20" s="18" t="n">
        <f aca="false">$C$14*C20</f>
        <v>10</v>
      </c>
      <c r="E20" s="21" t="n">
        <f aca="false">D20/$C$8</f>
        <v>1</v>
      </c>
      <c r="F20" s="18" t="n">
        <f aca="false">$C$8-D20</f>
        <v>0</v>
      </c>
    </row>
    <row r="21" customFormat="false" ht="15" hidden="false" customHeight="false" outlineLevel="0" collapsed="false">
      <c r="B21" s="28" t="s">
        <v>170</v>
      </c>
      <c r="C21" s="18" t="n">
        <f aca="false">$C$9/(1+$C$5)^$C$10</f>
        <v>82.1927106759352</v>
      </c>
      <c r="D21" s="18" t="n">
        <f aca="false">$C$14*C21</f>
        <v>3.16125810292058</v>
      </c>
      <c r="E21" s="21" t="n">
        <v>0</v>
      </c>
      <c r="F21" s="18" t="n">
        <f aca="false">-D21</f>
        <v>-3.16125810292058</v>
      </c>
      <c r="G21" s="16" t="s">
        <v>171</v>
      </c>
    </row>
    <row r="23" customFormat="false" ht="39" hidden="false" customHeight="true" outlineLevel="0" collapsed="false">
      <c r="B23" s="20" t="s">
        <v>172</v>
      </c>
      <c r="C23" s="20"/>
      <c r="D23" s="20"/>
      <c r="E23" s="20"/>
      <c r="F23" s="20"/>
      <c r="G23" s="20"/>
      <c r="H23" s="20"/>
      <c r="I23" s="20"/>
    </row>
    <row r="25" customFormat="false" ht="15" hidden="false" customHeight="false" outlineLevel="0" collapsed="false">
      <c r="B25" s="13" t="s">
        <v>173</v>
      </c>
      <c r="C25" s="13"/>
      <c r="D25" s="13"/>
      <c r="E25" s="13"/>
      <c r="F25" s="13"/>
      <c r="G25" s="13"/>
      <c r="H25" s="13"/>
      <c r="I25" s="13"/>
      <c r="J25" s="13"/>
    </row>
    <row r="26" customFormat="false" ht="23.85" hidden="false" customHeight="false" outlineLevel="0" collapsed="false">
      <c r="B26" s="3" t="s">
        <v>174</v>
      </c>
      <c r="C26" s="3" t="s">
        <v>175</v>
      </c>
      <c r="D26" s="3" t="s">
        <v>176</v>
      </c>
      <c r="E26" s="3" t="s">
        <v>177</v>
      </c>
      <c r="F26" s="3" t="s">
        <v>178</v>
      </c>
    </row>
    <row r="27" customFormat="false" ht="15" hidden="false" customHeight="false" outlineLevel="0" collapsed="false">
      <c r="B27" s="31" t="n">
        <v>0</v>
      </c>
      <c r="C27" s="18" t="n">
        <f aca="false">$C$6+IF(B27=$C$10,$C$9,0)</f>
        <v>100</v>
      </c>
      <c r="D27" s="18" t="n">
        <f aca="false">$C$6+$C$14*$C$9/(1+$C$5)^$C$10</f>
        <v>103.161258102921</v>
      </c>
      <c r="E27" s="18" t="n">
        <f aca="false">C27-D27</f>
        <v>-3.16125810292058</v>
      </c>
      <c r="F27" s="18" t="n">
        <f aca="false">E27</f>
        <v>-3.16125810292058</v>
      </c>
    </row>
    <row r="28" customFormat="false" ht="15" hidden="false" customHeight="false" outlineLevel="0" collapsed="false">
      <c r="B28" s="31" t="n">
        <v>1</v>
      </c>
      <c r="C28" s="18" t="n">
        <f aca="false">$C$6+IF(B28=$C$10,$C$9,0)</f>
        <v>100</v>
      </c>
      <c r="D28" s="18" t="n">
        <f aca="false">$C$6+$C$14*$C$9/(1+$C$5)^$C$10</f>
        <v>103.161258102921</v>
      </c>
      <c r="E28" s="18" t="n">
        <f aca="false">C28-D28</f>
        <v>-3.16125810292058</v>
      </c>
      <c r="F28" s="18" t="n">
        <f aca="false">(1+$C$5)*F27+E28</f>
        <v>-6.44896652995799</v>
      </c>
    </row>
    <row r="29" customFormat="false" ht="15" hidden="false" customHeight="false" outlineLevel="0" collapsed="false">
      <c r="B29" s="31" t="n">
        <v>2</v>
      </c>
      <c r="C29" s="18" t="n">
        <f aca="false">$C$6+IF(B29=$C$10,$C$9,0)</f>
        <v>100</v>
      </c>
      <c r="D29" s="18" t="n">
        <f aca="false">$C$6+$C$14*$C$9/(1+$C$5)^$C$10</f>
        <v>103.161258102921</v>
      </c>
      <c r="E29" s="18" t="n">
        <f aca="false">C29-D29</f>
        <v>-3.16125810292058</v>
      </c>
      <c r="F29" s="18" t="n">
        <f aca="false">(1+$C$5)*F28+E29</f>
        <v>-9.8681832940769</v>
      </c>
    </row>
    <row r="30" customFormat="false" ht="15" hidden="false" customHeight="false" outlineLevel="0" collapsed="false">
      <c r="B30" s="31" t="n">
        <v>3</v>
      </c>
      <c r="C30" s="18" t="n">
        <f aca="false">$C$6+IF(B30=$C$10,$C$9,0)</f>
        <v>100</v>
      </c>
      <c r="D30" s="18" t="n">
        <f aca="false">$C$6+$C$14*$C$9/(1+$C$5)^$C$10</f>
        <v>103.161258102921</v>
      </c>
      <c r="E30" s="18" t="n">
        <f aca="false">C30-D30</f>
        <v>-3.16125810292058</v>
      </c>
      <c r="F30" s="18" t="n">
        <f aca="false">(1+$C$5)*F29+E30</f>
        <v>-13.4241687287606</v>
      </c>
    </row>
    <row r="31" customFormat="false" ht="15" hidden="false" customHeight="false" outlineLevel="0" collapsed="false">
      <c r="B31" s="31" t="n">
        <v>4</v>
      </c>
      <c r="C31" s="18" t="n">
        <f aca="false">$C$6+IF(B31=$C$10,$C$9,0)</f>
        <v>100</v>
      </c>
      <c r="D31" s="18" t="n">
        <f aca="false">$C$6+$C$14*$C$9/(1+$C$5)^$C$10</f>
        <v>103.161258102921</v>
      </c>
      <c r="E31" s="18" t="n">
        <f aca="false">C31-D31</f>
        <v>-3.16125810292058</v>
      </c>
      <c r="F31" s="18" t="n">
        <f aca="false">(1+$C$5)*F30+E31</f>
        <v>-17.1223935808316</v>
      </c>
    </row>
    <row r="32" customFormat="false" ht="15" hidden="false" customHeight="false" outlineLevel="0" collapsed="false">
      <c r="B32" s="31" t="n">
        <v>5</v>
      </c>
      <c r="C32" s="18" t="n">
        <f aca="false">$C$6+IF(B32=$C$10,$C$9,0)</f>
        <v>200</v>
      </c>
      <c r="D32" s="18" t="n">
        <f aca="false">$C$6+$C$14*$C$9/(1+$C$5)^$C$10</f>
        <v>103.161258102921</v>
      </c>
      <c r="E32" s="18" t="n">
        <f aca="false">C32-D32</f>
        <v>96.8387418970794</v>
      </c>
      <c r="F32" s="18" t="n">
        <f aca="false">(1+$C$5)*F31+E32</f>
        <v>79.0314525730146</v>
      </c>
    </row>
    <row r="33" customFormat="false" ht="15" hidden="false" customHeight="false" outlineLevel="0" collapsed="false">
      <c r="B33" s="31" t="n">
        <v>6</v>
      </c>
      <c r="C33" s="18" t="n">
        <f aca="false">$C$6+IF(B33=$C$10,$C$9,0)</f>
        <v>100</v>
      </c>
      <c r="D33" s="18" t="n">
        <f aca="false">$C$6+$C$14*$C$9/(1+$C$5)^$C$10</f>
        <v>103.161258102921</v>
      </c>
      <c r="E33" s="18" t="n">
        <f aca="false">C33-D33</f>
        <v>-3.16125810292058</v>
      </c>
      <c r="F33" s="18" t="n">
        <f aca="false">(1+$C$5)*F32+E33</f>
        <v>79.0314525730146</v>
      </c>
    </row>
    <row r="34" customFormat="false" ht="15" hidden="false" customHeight="false" outlineLevel="0" collapsed="false">
      <c r="B34" s="31" t="n">
        <v>7</v>
      </c>
      <c r="C34" s="18" t="n">
        <f aca="false">$C$6+IF(B34=$C$10,$C$9,0)</f>
        <v>100</v>
      </c>
      <c r="D34" s="18" t="n">
        <f aca="false">$C$6+$C$14*$C$9/(1+$C$5)^$C$10</f>
        <v>103.161258102921</v>
      </c>
      <c r="E34" s="18" t="n">
        <f aca="false">C34-D34</f>
        <v>-3.16125810292058</v>
      </c>
      <c r="F34" s="18" t="n">
        <f aca="false">(1+$C$5)*F33+E34</f>
        <v>79.0314525730146</v>
      </c>
    </row>
    <row r="35" customFormat="false" ht="15" hidden="false" customHeight="false" outlineLevel="0" collapsed="false">
      <c r="B35" s="31" t="n">
        <v>8</v>
      </c>
      <c r="C35" s="18" t="n">
        <f aca="false">$C$6+IF(B35=$C$10,$C$9,0)</f>
        <v>100</v>
      </c>
      <c r="D35" s="18" t="n">
        <f aca="false">$C$6+$C$14*$C$9/(1+$C$5)^$C$10</f>
        <v>103.161258102921</v>
      </c>
      <c r="E35" s="18" t="n">
        <f aca="false">C35-D35</f>
        <v>-3.16125810292058</v>
      </c>
      <c r="F35" s="18" t="n">
        <f aca="false">(1+$C$5)*F34+E35</f>
        <v>79.0314525730146</v>
      </c>
    </row>
    <row r="36" customFormat="false" ht="15" hidden="false" customHeight="false" outlineLevel="0" collapsed="false">
      <c r="B36" s="31" t="n">
        <v>9</v>
      </c>
      <c r="C36" s="18" t="n">
        <f aca="false">$C$6+IF(B36=$C$10,$C$9,0)</f>
        <v>100</v>
      </c>
      <c r="D36" s="18" t="n">
        <f aca="false">$C$6+$C$14*$C$9/(1+$C$5)^$C$10</f>
        <v>103.161258102921</v>
      </c>
      <c r="E36" s="18" t="n">
        <f aca="false">C36-D36</f>
        <v>-3.16125810292058</v>
      </c>
      <c r="F36" s="18" t="n">
        <f aca="false">(1+$C$5)*F35+E36</f>
        <v>79.0314525730146</v>
      </c>
    </row>
    <row r="37" customFormat="false" ht="15" hidden="false" customHeight="false" outlineLevel="0" collapsed="false">
      <c r="B37" s="31" t="n">
        <v>10</v>
      </c>
      <c r="C37" s="18" t="n">
        <f aca="false">$C$6+IF(B37=$C$10,$C$9,0)</f>
        <v>100</v>
      </c>
      <c r="D37" s="18" t="n">
        <f aca="false">$C$6+$C$14*$C$9/(1+$C$5)^$C$10</f>
        <v>103.161258102921</v>
      </c>
      <c r="E37" s="18" t="n">
        <f aca="false">C37-D37</f>
        <v>-3.16125810292058</v>
      </c>
      <c r="F37" s="18" t="n">
        <f aca="false">(1+$C$5)*F36+E37</f>
        <v>79.0314525730146</v>
      </c>
    </row>
    <row r="38" customFormat="false" ht="15" hidden="false" customHeight="false" outlineLevel="0" collapsed="false">
      <c r="B38" s="31" t="n">
        <v>11</v>
      </c>
      <c r="C38" s="18" t="n">
        <f aca="false">$C$6+IF(B38=$C$10,$C$9,0)</f>
        <v>100</v>
      </c>
      <c r="D38" s="18" t="n">
        <f aca="false">$C$6+$C$14*$C$9/(1+$C$5)^$C$10</f>
        <v>103.161258102921</v>
      </c>
      <c r="E38" s="18" t="n">
        <f aca="false">C38-D38</f>
        <v>-3.16125810292058</v>
      </c>
      <c r="F38" s="18" t="n">
        <f aca="false">(1+$C$5)*F37+E38</f>
        <v>79.0314525730146</v>
      </c>
    </row>
  </sheetData>
  <mergeCells count="7">
    <mergeCell ref="B1:J1"/>
    <mergeCell ref="B2:J2"/>
    <mergeCell ref="B4:J4"/>
    <mergeCell ref="B12:J12"/>
    <mergeCell ref="B17:J17"/>
    <mergeCell ref="B23:I23"/>
    <mergeCell ref="B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179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180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181</v>
      </c>
      <c r="C5" s="14" t="n">
        <v>100</v>
      </c>
    </row>
    <row r="6" customFormat="false" ht="15" hidden="false" customHeight="false" outlineLevel="0" collapsed="false">
      <c r="B6" s="9" t="s">
        <v>182</v>
      </c>
      <c r="C6" s="14" t="n">
        <v>105</v>
      </c>
    </row>
    <row r="7" customFormat="false" ht="15" hidden="false" customHeight="false" outlineLevel="0" collapsed="false">
      <c r="B7" s="9" t="s">
        <v>45</v>
      </c>
      <c r="C7" s="15" t="n">
        <v>0.05</v>
      </c>
    </row>
    <row r="8" customFormat="false" ht="15" hidden="false" customHeight="false" outlineLevel="0" collapsed="false">
      <c r="B8" s="9" t="s">
        <v>79</v>
      </c>
      <c r="C8" s="14" t="n">
        <v>0.95</v>
      </c>
    </row>
    <row r="9" customFormat="false" ht="15" hidden="false" customHeight="false" outlineLevel="0" collapsed="false">
      <c r="B9" s="9" t="s">
        <v>183</v>
      </c>
      <c r="C9" s="14" t="n">
        <v>20</v>
      </c>
    </row>
    <row r="10" customFormat="false" ht="15" hidden="false" customHeight="false" outlineLevel="0" collapsed="false">
      <c r="B10" s="9" t="s">
        <v>184</v>
      </c>
      <c r="C10" s="14" t="n">
        <v>20</v>
      </c>
    </row>
    <row r="11" customFormat="false" ht="15" hidden="false" customHeight="false" outlineLevel="0" collapsed="false">
      <c r="B11" s="9" t="s">
        <v>185</v>
      </c>
      <c r="C11" s="14" t="n">
        <v>20</v>
      </c>
    </row>
    <row r="12" customFormat="false" ht="15" hidden="false" customHeight="false" outlineLevel="0" collapsed="false">
      <c r="B12" s="9" t="s">
        <v>186</v>
      </c>
      <c r="C12" s="14" t="n">
        <v>20</v>
      </c>
    </row>
    <row r="13" customFormat="false" ht="15" hidden="false" customHeight="false" outlineLevel="0" collapsed="false">
      <c r="B13" s="9" t="s">
        <v>187</v>
      </c>
      <c r="C13" s="14" t="n">
        <v>0</v>
      </c>
      <c r="D13" s="16" t="s">
        <v>188</v>
      </c>
    </row>
    <row r="15" customFormat="false" ht="15" hidden="false" customHeight="false" outlineLevel="0" collapsed="false">
      <c r="B15" s="13" t="s">
        <v>189</v>
      </c>
      <c r="C15" s="13"/>
      <c r="D15" s="13"/>
      <c r="E15" s="13"/>
      <c r="F15" s="13"/>
      <c r="G15" s="13"/>
      <c r="H15" s="13"/>
      <c r="I15" s="13"/>
      <c r="J15" s="13"/>
    </row>
    <row r="16" customFormat="false" ht="15" hidden="false" customHeight="false" outlineLevel="0" collapsed="false">
      <c r="B16" s="7" t="s">
        <v>190</v>
      </c>
      <c r="C16" s="17" t="n">
        <f aca="false">$C$9+$C$10/(1+$C$7)</f>
        <v>39.0476190476191</v>
      </c>
    </row>
    <row r="17" customFormat="false" ht="15" hidden="false" customHeight="false" outlineLevel="0" collapsed="false">
      <c r="B17" s="9" t="s">
        <v>191</v>
      </c>
      <c r="C17" s="21" t="n">
        <f aca="false">$C$11+$C$12/(1+$C$7)-$C$16</f>
        <v>0</v>
      </c>
      <c r="D17" s="16" t="s">
        <v>192</v>
      </c>
    </row>
    <row r="18" customFormat="false" ht="15" hidden="false" customHeight="false" outlineLevel="0" collapsed="false">
      <c r="B18" s="7" t="s">
        <v>193</v>
      </c>
      <c r="C18" s="17" t="n">
        <f aca="false">(1+$C$7)*($C$16-$C$13)</f>
        <v>41</v>
      </c>
    </row>
    <row r="19" customFormat="false" ht="15" hidden="false" customHeight="false" outlineLevel="0" collapsed="false">
      <c r="B19" s="9" t="s">
        <v>194</v>
      </c>
      <c r="C19" s="18" t="n">
        <f aca="false">$C$9-$C$13</f>
        <v>20</v>
      </c>
    </row>
    <row r="20" customFormat="false" ht="15" hidden="false" customHeight="false" outlineLevel="0" collapsed="false">
      <c r="B20" s="9" t="s">
        <v>195</v>
      </c>
      <c r="C20" s="18" t="n">
        <f aca="false">(1+$C$7)*($C$9-$C$13)+$C$10</f>
        <v>41</v>
      </c>
      <c r="D20" s="16" t="s">
        <v>196</v>
      </c>
    </row>
    <row r="22" customFormat="false" ht="15" hidden="false" customHeight="false" outlineLevel="0" collapsed="false">
      <c r="B22" s="13" t="s">
        <v>197</v>
      </c>
      <c r="C22" s="13"/>
      <c r="D22" s="13"/>
      <c r="E22" s="13"/>
      <c r="F22" s="13"/>
      <c r="G22" s="13"/>
      <c r="H22" s="13"/>
      <c r="I22" s="13"/>
      <c r="J22" s="13"/>
    </row>
    <row r="23" customFormat="false" ht="15" hidden="false" customHeight="false" outlineLevel="0" collapsed="false">
      <c r="B23" s="3" t="s">
        <v>198</v>
      </c>
      <c r="C23" s="3" t="s">
        <v>199</v>
      </c>
      <c r="D23" s="3" t="s">
        <v>200</v>
      </c>
      <c r="E23" s="3" t="s">
        <v>201</v>
      </c>
    </row>
    <row r="24" customFormat="false" ht="15" hidden="false" customHeight="false" outlineLevel="0" collapsed="false">
      <c r="B24" s="28" t="s">
        <v>202</v>
      </c>
      <c r="C24" s="32" t="n">
        <f aca="false">($C$5-$C$11)+($C$6-$C$12)/(1+$C$7)</f>
        <v>160.952380952381</v>
      </c>
      <c r="D24" s="32" t="n">
        <f aca="false">($C$5-$C$13)+($C$6-$C$18)/(1+$C$7)</f>
        <v>160.952380952381</v>
      </c>
      <c r="E24" s="32" t="n">
        <f aca="false">D24-C24</f>
        <v>0</v>
      </c>
    </row>
    <row r="25" customFormat="false" ht="15" hidden="false" customHeight="false" outlineLevel="0" collapsed="false">
      <c r="B25" s="28" t="s">
        <v>85</v>
      </c>
      <c r="C25" s="32" t="n">
        <f aca="false">C24/(1+$C$8)</f>
        <v>82.5396825396825</v>
      </c>
      <c r="D25" s="32" t="n">
        <f aca="false">D24/(1+$C$8)</f>
        <v>82.5396825396825</v>
      </c>
      <c r="E25" s="32" t="n">
        <f aca="false">D25-C25</f>
        <v>0</v>
      </c>
    </row>
    <row r="26" customFormat="false" ht="15" hidden="false" customHeight="false" outlineLevel="0" collapsed="false">
      <c r="B26" s="28" t="s">
        <v>203</v>
      </c>
      <c r="C26" s="18" t="n">
        <f aca="false">$C$8*(1+$C$7)*C25</f>
        <v>82.3333333333333</v>
      </c>
      <c r="D26" s="18" t="n">
        <f aca="false">$C$8*(1+$C$7)*D25</f>
        <v>82.3333333333333</v>
      </c>
      <c r="E26" s="18" t="n">
        <f aca="false">D26-C26</f>
        <v>0</v>
      </c>
    </row>
    <row r="27" customFormat="false" ht="15" hidden="false" customHeight="false" outlineLevel="0" collapsed="false">
      <c r="B27" s="28" t="s">
        <v>204</v>
      </c>
      <c r="C27" s="18" t="n">
        <f aca="false">($C$5-$C$11)-C25</f>
        <v>-2.53968253968255</v>
      </c>
      <c r="D27" s="18" t="n">
        <f aca="false">($C$5-$C$13)-D25</f>
        <v>17.4603174603175</v>
      </c>
      <c r="E27" s="18" t="n">
        <f aca="false">D27-C27</f>
        <v>20</v>
      </c>
    </row>
    <row r="28" customFormat="false" ht="15" hidden="false" customHeight="false" outlineLevel="0" collapsed="false">
      <c r="B28" s="28" t="s">
        <v>205</v>
      </c>
      <c r="C28" s="18" t="n">
        <f aca="false">$C$11-$C$9</f>
        <v>0</v>
      </c>
      <c r="D28" s="18" t="n">
        <f aca="false">$C$13-$C$9</f>
        <v>-20</v>
      </c>
      <c r="E28" s="18" t="n">
        <f aca="false">D28-C28</f>
        <v>-20</v>
      </c>
    </row>
    <row r="29" customFormat="false" ht="15" hidden="false" customHeight="false" outlineLevel="0" collapsed="false">
      <c r="B29" s="28" t="s">
        <v>206</v>
      </c>
      <c r="C29" s="32" t="n">
        <f aca="false">C27+C28</f>
        <v>-2.53968253968255</v>
      </c>
      <c r="D29" s="32" t="n">
        <f aca="false">D27+D28</f>
        <v>-2.53968253968253</v>
      </c>
      <c r="E29" s="32" t="n">
        <f aca="false">D29-C29</f>
        <v>1.4210854715202E-014</v>
      </c>
    </row>
    <row r="31" customFormat="false" ht="15" hidden="false" customHeight="false" outlineLevel="0" collapsed="false">
      <c r="B31" s="9" t="s">
        <v>207</v>
      </c>
      <c r="C31" s="22" t="str">
        <f aca="false">IF(ABS(E24)&lt;0.000001,"Sí: la riqueza no cambia, el consumo tampoco","No: cambió el valor presente de los impuestos")</f>
        <v>Sí: la riqueza no cambia, el consumo tampoco</v>
      </c>
    </row>
    <row r="32" customFormat="false" ht="25.5" hidden="false" customHeight="true" outlineLevel="0" collapsed="false">
      <c r="B32" s="20" t="s">
        <v>208</v>
      </c>
      <c r="C32" s="20"/>
      <c r="D32" s="20"/>
      <c r="E32" s="20"/>
      <c r="F32" s="20"/>
      <c r="G32" s="20"/>
      <c r="H32" s="20"/>
      <c r="I32" s="20"/>
    </row>
    <row r="34" customFormat="false" ht="15" hidden="false" customHeight="false" outlineLevel="0" collapsed="false">
      <c r="B34" s="13" t="s">
        <v>209</v>
      </c>
      <c r="C34" s="13"/>
      <c r="D34" s="13"/>
      <c r="E34" s="13"/>
      <c r="F34" s="13"/>
      <c r="G34" s="13"/>
      <c r="H34" s="13"/>
      <c r="I34" s="13"/>
      <c r="J34" s="13"/>
    </row>
    <row r="35" customFormat="false" ht="25.5" hidden="false" customHeight="true" outlineLevel="0" collapsed="false">
      <c r="B35" s="20" t="s">
        <v>210</v>
      </c>
      <c r="C35" s="20"/>
      <c r="D35" s="20"/>
      <c r="E35" s="20"/>
      <c r="F35" s="20"/>
      <c r="G35" s="20"/>
      <c r="H35" s="20"/>
      <c r="I35" s="20"/>
    </row>
    <row r="36" customFormat="false" ht="25.5" hidden="false" customHeight="true" outlineLevel="0" collapsed="false">
      <c r="B36" s="20" t="s">
        <v>211</v>
      </c>
      <c r="C36" s="20"/>
      <c r="D36" s="20"/>
      <c r="E36" s="20"/>
      <c r="F36" s="20"/>
      <c r="G36" s="20"/>
      <c r="H36" s="20"/>
      <c r="I36" s="20"/>
    </row>
    <row r="37" customFormat="false" ht="25.5" hidden="false" customHeight="true" outlineLevel="0" collapsed="false">
      <c r="B37" s="20" t="s">
        <v>212</v>
      </c>
      <c r="C37" s="20"/>
      <c r="D37" s="20"/>
      <c r="E37" s="20"/>
      <c r="F37" s="20"/>
      <c r="G37" s="20"/>
      <c r="H37" s="20"/>
      <c r="I37" s="20"/>
    </row>
    <row r="38" customFormat="false" ht="12.75" hidden="false" customHeight="true" outlineLevel="0" collapsed="false">
      <c r="B38" s="20" t="s">
        <v>213</v>
      </c>
      <c r="C38" s="20"/>
      <c r="D38" s="20"/>
      <c r="E38" s="20"/>
      <c r="F38" s="20"/>
      <c r="G38" s="20"/>
      <c r="H38" s="20"/>
      <c r="I38" s="20"/>
    </row>
  </sheetData>
  <mergeCells count="11">
    <mergeCell ref="B1:J1"/>
    <mergeCell ref="B2:J2"/>
    <mergeCell ref="B4:J4"/>
    <mergeCell ref="B15:J15"/>
    <mergeCell ref="B22:J22"/>
    <mergeCell ref="B32:I32"/>
    <mergeCell ref="B34:J34"/>
    <mergeCell ref="B35:I35"/>
    <mergeCell ref="B36:I36"/>
    <mergeCell ref="B37:I37"/>
    <mergeCell ref="B38:I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214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215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43</v>
      </c>
      <c r="C5" s="14" t="n">
        <v>100</v>
      </c>
    </row>
    <row r="6" customFormat="false" ht="15" hidden="false" customHeight="false" outlineLevel="0" collapsed="false">
      <c r="B6" s="9" t="s">
        <v>44</v>
      </c>
      <c r="C6" s="14" t="n">
        <v>126</v>
      </c>
    </row>
    <row r="7" customFormat="false" ht="15" hidden="false" customHeight="false" outlineLevel="0" collapsed="false">
      <c r="B7" s="9" t="s">
        <v>45</v>
      </c>
      <c r="C7" s="15" t="n">
        <v>0.05</v>
      </c>
    </row>
    <row r="8" customFormat="false" ht="15" hidden="false" customHeight="false" outlineLevel="0" collapsed="false">
      <c r="B8" s="9" t="s">
        <v>79</v>
      </c>
      <c r="C8" s="14" t="n">
        <v>0.95</v>
      </c>
    </row>
    <row r="9" customFormat="false" ht="15" hidden="false" customHeight="false" outlineLevel="0" collapsed="false">
      <c r="B9" s="9" t="s">
        <v>216</v>
      </c>
      <c r="C9" s="14" t="n">
        <v>5</v>
      </c>
      <c r="D9" s="16" t="s">
        <v>49</v>
      </c>
    </row>
    <row r="11" customFormat="false" ht="15" hidden="false" customHeight="false" outlineLevel="0" collapsed="false">
      <c r="B11" s="13" t="s">
        <v>217</v>
      </c>
      <c r="C11" s="13"/>
      <c r="D11" s="13"/>
      <c r="E11" s="13"/>
      <c r="F11" s="13"/>
      <c r="G11" s="13"/>
      <c r="H11" s="13"/>
      <c r="I11" s="13"/>
      <c r="J11" s="13"/>
    </row>
    <row r="12" customFormat="false" ht="15" hidden="false" customHeight="false" outlineLevel="0" collapsed="false">
      <c r="B12" s="9" t="s">
        <v>218</v>
      </c>
      <c r="C12" s="18" t="n">
        <f aca="false">$C$5+$C$6/(1+$C$7)</f>
        <v>220</v>
      </c>
    </row>
    <row r="13" customFormat="false" ht="15" hidden="false" customHeight="false" outlineLevel="0" collapsed="false">
      <c r="B13" s="7" t="s">
        <v>219</v>
      </c>
      <c r="C13" s="17" t="n">
        <f aca="false">$C$12/(1+$C$8)</f>
        <v>112.820512820513</v>
      </c>
    </row>
    <row r="14" customFormat="false" ht="15" hidden="false" customHeight="false" outlineLevel="0" collapsed="false">
      <c r="B14" s="9" t="s">
        <v>220</v>
      </c>
      <c r="C14" s="18" t="n">
        <f aca="false">$C$6</f>
        <v>126</v>
      </c>
    </row>
    <row r="15" customFormat="false" ht="15" hidden="false" customHeight="false" outlineLevel="0" collapsed="false">
      <c r="B15" s="9" t="s">
        <v>221</v>
      </c>
      <c r="C15" s="18" t="n">
        <f aca="false">$C$8*(1+$C$7)*$C$5</f>
        <v>99.75</v>
      </c>
    </row>
    <row r="16" customFormat="false" ht="15" hidden="false" customHeight="false" outlineLevel="0" collapsed="false">
      <c r="B16" s="9" t="s">
        <v>222</v>
      </c>
      <c r="C16" s="22" t="str">
        <f aca="false">IF($C$13&gt;$C$5,"SÍ: quiere endeudarse en "&amp;TEXT($C$13-$C$5,"0.00")&amp;" y no puede","NO: es acreedor")</f>
        <v>SÍ: quiere endeudarse en 12.82 y no puede</v>
      </c>
    </row>
    <row r="17" customFormat="false" ht="25.5" hidden="false" customHeight="true" outlineLevel="0" collapsed="false">
      <c r="B17" s="20" t="s">
        <v>223</v>
      </c>
      <c r="C17" s="20"/>
      <c r="D17" s="20"/>
      <c r="E17" s="20"/>
      <c r="F17" s="20"/>
      <c r="G17" s="20"/>
      <c r="H17" s="20"/>
      <c r="I17" s="20"/>
    </row>
    <row r="19" customFormat="false" ht="15" hidden="false" customHeight="false" outlineLevel="0" collapsed="false">
      <c r="B19" s="13" t="s">
        <v>224</v>
      </c>
      <c r="C19" s="13"/>
      <c r="D19" s="13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B20" s="7" t="s">
        <v>225</v>
      </c>
      <c r="C20" s="17" t="n">
        <f aca="false">MIN($C$13,$C$5)</f>
        <v>100</v>
      </c>
    </row>
    <row r="21" customFormat="false" ht="15" hidden="false" customHeight="false" outlineLevel="0" collapsed="false">
      <c r="B21" s="7" t="s">
        <v>59</v>
      </c>
      <c r="C21" s="17" t="n">
        <f aca="false">$C$5-$C$20</f>
        <v>0</v>
      </c>
    </row>
    <row r="22" customFormat="false" ht="15" hidden="false" customHeight="false" outlineLevel="0" collapsed="false">
      <c r="B22" s="7" t="s">
        <v>226</v>
      </c>
      <c r="C22" s="17" t="n">
        <f aca="false">$C$6+(1+$C$7)*$C$21</f>
        <v>126</v>
      </c>
    </row>
    <row r="23" customFormat="false" ht="15" hidden="false" customHeight="false" outlineLevel="0" collapsed="false">
      <c r="B23" s="9" t="s">
        <v>227</v>
      </c>
      <c r="C23" s="33" t="n">
        <f aca="false">1/$C$20</f>
        <v>0.01</v>
      </c>
    </row>
    <row r="24" customFormat="false" ht="15" hidden="false" customHeight="false" outlineLevel="0" collapsed="false">
      <c r="B24" s="9" t="s">
        <v>228</v>
      </c>
      <c r="C24" s="33" t="n">
        <f aca="false">$C$8*(1+$C$7)/$C$22</f>
        <v>0.00791666666666667</v>
      </c>
    </row>
    <row r="25" customFormat="false" ht="15" hidden="false" customHeight="false" outlineLevel="0" collapsed="false">
      <c r="B25" s="7" t="s">
        <v>229</v>
      </c>
      <c r="C25" s="34" t="n">
        <f aca="false">1/$C$20-$C$8*(1+$C$7)/$C$22</f>
        <v>0.00208333333333333</v>
      </c>
      <c r="D25" s="16" t="s">
        <v>230</v>
      </c>
    </row>
    <row r="26" customFormat="false" ht="25.5" hidden="false" customHeight="true" outlineLevel="0" collapsed="false">
      <c r="B26" s="20" t="s">
        <v>231</v>
      </c>
      <c r="C26" s="20"/>
      <c r="D26" s="20"/>
      <c r="E26" s="20"/>
      <c r="F26" s="20"/>
      <c r="G26" s="20"/>
      <c r="H26" s="20"/>
      <c r="I26" s="20"/>
    </row>
    <row r="28" customFormat="false" ht="15" hidden="false" customHeight="false" outlineLevel="0" collapsed="false">
      <c r="B28" s="13" t="s">
        <v>232</v>
      </c>
      <c r="C28" s="13"/>
      <c r="D28" s="13"/>
      <c r="E28" s="13"/>
      <c r="F28" s="13"/>
      <c r="G28" s="13"/>
      <c r="H28" s="13"/>
      <c r="I28" s="13"/>
      <c r="J28" s="13"/>
    </row>
    <row r="29" customFormat="false" ht="15" hidden="false" customHeight="false" outlineLevel="0" collapsed="false">
      <c r="B29" s="9" t="s">
        <v>233</v>
      </c>
      <c r="C29" s="33" t="n">
        <f aca="false">LN($C$13)+$C$8*LN($C$8*(1+$C$7)*$C$13)</f>
        <v>9.21292846515737</v>
      </c>
    </row>
    <row r="30" customFormat="false" ht="15" hidden="false" customHeight="false" outlineLevel="0" collapsed="false">
      <c r="B30" s="9" t="s">
        <v>234</v>
      </c>
      <c r="C30" s="33" t="n">
        <f aca="false">LN($C$20)+$C$8*LN($C$22)</f>
        <v>9.199637997592</v>
      </c>
    </row>
    <row r="31" customFormat="false" ht="15" hidden="false" customHeight="false" outlineLevel="0" collapsed="false">
      <c r="B31" s="7" t="s">
        <v>235</v>
      </c>
      <c r="C31" s="34" t="n">
        <f aca="false">$C$29-$C$30</f>
        <v>0.0132904675653691</v>
      </c>
    </row>
    <row r="32" customFormat="false" ht="15" hidden="false" customHeight="false" outlineLevel="0" collapsed="false">
      <c r="B32" s="7" t="s">
        <v>236</v>
      </c>
      <c r="C32" s="35" t="n">
        <f aca="false">EXP($C$31/(1+$C$8))</f>
        <v>1.00683890361786</v>
      </c>
    </row>
    <row r="33" customFormat="false" ht="15" hidden="false" customHeight="false" outlineLevel="0" collapsed="false">
      <c r="B33" s="7" t="s">
        <v>237</v>
      </c>
      <c r="C33" s="36" t="n">
        <f aca="false">EXP($C$31/(1+$C$8))-1</f>
        <v>0.00683890361786022</v>
      </c>
    </row>
    <row r="34" customFormat="false" ht="25.5" hidden="false" customHeight="true" outlineLevel="0" collapsed="false">
      <c r="B34" s="20" t="s">
        <v>238</v>
      </c>
      <c r="C34" s="20"/>
      <c r="D34" s="20"/>
      <c r="E34" s="20"/>
      <c r="F34" s="20"/>
      <c r="G34" s="20"/>
      <c r="H34" s="20"/>
      <c r="I34" s="20"/>
    </row>
    <row r="36" customFormat="false" ht="15" hidden="false" customHeight="false" outlineLevel="0" collapsed="false">
      <c r="B36" s="13" t="s">
        <v>239</v>
      </c>
      <c r="C36" s="13"/>
      <c r="D36" s="13"/>
      <c r="E36" s="13"/>
      <c r="F36" s="13"/>
      <c r="G36" s="13"/>
      <c r="H36" s="13"/>
      <c r="I36" s="13"/>
      <c r="J36" s="13"/>
    </row>
    <row r="37" customFormat="false" ht="15" hidden="false" customHeight="false" outlineLevel="0" collapsed="false">
      <c r="B37" s="9" t="s">
        <v>240</v>
      </c>
      <c r="C37" s="18" t="n">
        <f aca="false">($C$5+$C$9)+$C$6/(1+$C$7)</f>
        <v>225</v>
      </c>
    </row>
    <row r="38" customFormat="false" ht="15" hidden="false" customHeight="false" outlineLevel="0" collapsed="false">
      <c r="B38" s="9" t="s">
        <v>241</v>
      </c>
      <c r="C38" s="18" t="n">
        <f aca="false">$C$37/(1+$C$8)</f>
        <v>115.384615384615</v>
      </c>
    </row>
    <row r="39" customFormat="false" ht="15" hidden="false" customHeight="false" outlineLevel="0" collapsed="false">
      <c r="B39" s="7" t="s">
        <v>242</v>
      </c>
      <c r="C39" s="17" t="n">
        <f aca="false">MIN($C$38,$C$5+$C$9)</f>
        <v>105</v>
      </c>
    </row>
    <row r="40" customFormat="false" ht="15" hidden="false" customHeight="false" outlineLevel="0" collapsed="false">
      <c r="B40" s="9" t="s">
        <v>243</v>
      </c>
      <c r="C40" s="22" t="str">
        <f aca="false">IF($C$38&gt;$C$5+$C$9,"SÍ","NO")</f>
        <v>SÍ</v>
      </c>
    </row>
    <row r="41" customFormat="false" ht="15" hidden="false" customHeight="false" outlineLevel="0" collapsed="false">
      <c r="B41" s="7" t="s">
        <v>244</v>
      </c>
      <c r="C41" s="25" t="n">
        <f aca="false">($C$39-$C$20)/$C$9</f>
        <v>1</v>
      </c>
    </row>
    <row r="42" customFormat="false" ht="15" hidden="false" customHeight="false" outlineLevel="0" collapsed="false">
      <c r="B42" s="9" t="s">
        <v>245</v>
      </c>
      <c r="C42" s="21" t="n">
        <f aca="false">1/(1+$C$8)</f>
        <v>0.512820512820513</v>
      </c>
    </row>
    <row r="43" customFormat="false" ht="15" hidden="false" customHeight="false" outlineLevel="0" collapsed="false">
      <c r="B43" s="9" t="s">
        <v>246</v>
      </c>
      <c r="C43" s="21" t="n">
        <f aca="false">$C$7/(1+$C$7)</f>
        <v>0.0476190476190476</v>
      </c>
    </row>
    <row r="44" customFormat="false" ht="39" hidden="false" customHeight="true" outlineLevel="0" collapsed="false">
      <c r="B44" s="20" t="s">
        <v>247</v>
      </c>
      <c r="C44" s="20"/>
      <c r="D44" s="20"/>
      <c r="E44" s="20"/>
      <c r="F44" s="20"/>
      <c r="G44" s="20"/>
      <c r="H44" s="20"/>
      <c r="I44" s="20"/>
    </row>
  </sheetData>
  <mergeCells count="11">
    <mergeCell ref="B1:J1"/>
    <mergeCell ref="B2:J2"/>
    <mergeCell ref="B4:J4"/>
    <mergeCell ref="B11:J11"/>
    <mergeCell ref="B17:I17"/>
    <mergeCell ref="B19:J19"/>
    <mergeCell ref="B26:I26"/>
    <mergeCell ref="B28:J28"/>
    <mergeCell ref="B34:I34"/>
    <mergeCell ref="B36:J36"/>
    <mergeCell ref="B44:I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248</v>
      </c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B2" s="12" t="s">
        <v>249</v>
      </c>
      <c r="C2" s="12"/>
      <c r="D2" s="12"/>
      <c r="E2" s="12"/>
      <c r="F2" s="12"/>
      <c r="G2" s="12"/>
      <c r="H2" s="12"/>
      <c r="I2" s="12"/>
      <c r="J2" s="12"/>
    </row>
    <row r="4" customFormat="false" ht="15" hidden="false" customHeight="false" outlineLevel="0" collapsed="false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B5" s="9" t="s">
        <v>250</v>
      </c>
      <c r="C5" s="14" t="n">
        <v>10</v>
      </c>
    </row>
    <row r="6" customFormat="false" ht="15" hidden="false" customHeight="false" outlineLevel="0" collapsed="false">
      <c r="B6" s="9" t="s">
        <v>251</v>
      </c>
      <c r="C6" s="14" t="n">
        <v>0.3</v>
      </c>
    </row>
    <row r="7" customFormat="false" ht="15" hidden="false" customHeight="false" outlineLevel="0" collapsed="false">
      <c r="B7" s="9" t="s">
        <v>252</v>
      </c>
      <c r="C7" s="15" t="n">
        <v>0.1</v>
      </c>
    </row>
    <row r="8" customFormat="false" ht="15" hidden="false" customHeight="false" outlineLevel="0" collapsed="false">
      <c r="B8" s="9" t="s">
        <v>105</v>
      </c>
      <c r="C8" s="15" t="n">
        <v>0.05</v>
      </c>
    </row>
    <row r="9" customFormat="false" ht="15" hidden="false" customHeight="false" outlineLevel="0" collapsed="false">
      <c r="B9" s="9" t="s">
        <v>106</v>
      </c>
      <c r="C9" s="15" t="n">
        <v>0.1</v>
      </c>
    </row>
    <row r="10" customFormat="false" ht="15" hidden="false" customHeight="false" outlineLevel="0" collapsed="false">
      <c r="B10" s="9" t="s">
        <v>253</v>
      </c>
      <c r="C10" s="14" t="n">
        <v>60</v>
      </c>
    </row>
    <row r="12" customFormat="false" ht="15" hidden="false" customHeight="false" outlineLevel="0" collapsed="false">
      <c r="B12" s="13" t="s">
        <v>254</v>
      </c>
      <c r="C12" s="13"/>
      <c r="D12" s="13"/>
      <c r="E12" s="13"/>
      <c r="F12" s="13"/>
      <c r="G12" s="13"/>
      <c r="H12" s="13"/>
      <c r="I12" s="13"/>
      <c r="J12" s="13"/>
    </row>
    <row r="13" customFormat="false" ht="25.5" hidden="false" customHeight="true" outlineLevel="0" collapsed="false">
      <c r="B13" s="20" t="s">
        <v>255</v>
      </c>
      <c r="C13" s="20"/>
      <c r="D13" s="20"/>
      <c r="E13" s="20"/>
      <c r="F13" s="20"/>
      <c r="G13" s="20"/>
      <c r="H13" s="20"/>
      <c r="I13" s="20"/>
    </row>
    <row r="15" customFormat="false" ht="15" hidden="false" customHeight="false" outlineLevel="0" collapsed="false">
      <c r="B15" s="13" t="s">
        <v>256</v>
      </c>
      <c r="C15" s="13"/>
      <c r="D15" s="13"/>
      <c r="E15" s="13"/>
      <c r="F15" s="13"/>
      <c r="G15" s="13"/>
      <c r="H15" s="13"/>
      <c r="I15" s="13"/>
      <c r="J15" s="13"/>
    </row>
    <row r="16" customFormat="false" ht="15" hidden="false" customHeight="false" outlineLevel="0" collapsed="false">
      <c r="B16" s="3" t="s">
        <v>257</v>
      </c>
      <c r="C16" s="3" t="s">
        <v>95</v>
      </c>
      <c r="D16" s="3" t="s">
        <v>258</v>
      </c>
      <c r="E16" s="3" t="s">
        <v>259</v>
      </c>
      <c r="F16" s="3" t="s">
        <v>260</v>
      </c>
      <c r="G16" s="3" t="s">
        <v>261</v>
      </c>
    </row>
    <row r="17" customFormat="false" ht="15" hidden="false" customHeight="false" outlineLevel="0" collapsed="false">
      <c r="B17" s="28" t="s">
        <v>262</v>
      </c>
      <c r="C17" s="23" t="n">
        <f aca="false">$C$8</f>
        <v>0.05</v>
      </c>
      <c r="D17" s="19" t="n">
        <f aca="false">C17+$C$7</f>
        <v>0.15</v>
      </c>
      <c r="E17" s="32" t="n">
        <f aca="false">($C$6*$C$5/D17)^(1/(1-$C$6))</f>
        <v>72.2128157528199</v>
      </c>
      <c r="F17" s="18" t="n">
        <f aca="false">$C$5*E17^$C$6</f>
        <v>36.1064078764099</v>
      </c>
      <c r="G17" s="21" t="n">
        <f aca="false">$C$6*$C$5*E17^($C$6-1)</f>
        <v>0.15</v>
      </c>
    </row>
    <row r="18" customFormat="false" ht="15" hidden="false" customHeight="false" outlineLevel="0" collapsed="false">
      <c r="B18" s="28" t="s">
        <v>263</v>
      </c>
      <c r="C18" s="23" t="n">
        <f aca="false">$C$9</f>
        <v>0.1</v>
      </c>
      <c r="D18" s="19" t="n">
        <f aca="false">C18+$C$7</f>
        <v>0.2</v>
      </c>
      <c r="E18" s="32" t="n">
        <f aca="false">($C$6*$C$5/D18)^(1/(1-$C$6))</f>
        <v>47.8773792996892</v>
      </c>
      <c r="F18" s="18" t="n">
        <f aca="false">$C$5*E18^$C$6</f>
        <v>31.9182528664595</v>
      </c>
      <c r="G18" s="21" t="n">
        <f aca="false">$C$6*$C$5*E18^($C$6-1)</f>
        <v>0.2</v>
      </c>
    </row>
    <row r="20" customFormat="false" ht="15" hidden="false" customHeight="false" outlineLevel="0" collapsed="false">
      <c r="B20" s="7" t="s">
        <v>264</v>
      </c>
      <c r="C20" s="37" t="n">
        <f aca="false">$E$18/$E$17-1</f>
        <v>-0.33699608856729</v>
      </c>
    </row>
    <row r="21" customFormat="false" ht="15" hidden="false" customHeight="false" outlineLevel="0" collapsed="false">
      <c r="B21" s="7" t="s">
        <v>265</v>
      </c>
      <c r="C21" s="25" t="n">
        <f aca="false">-1/(1-$C$6)</f>
        <v>-1.42857142857143</v>
      </c>
    </row>
    <row r="22" customFormat="false" ht="15" hidden="false" customHeight="false" outlineLevel="0" collapsed="false">
      <c r="B22" s="9" t="s">
        <v>266</v>
      </c>
      <c r="C22" s="21" t="n">
        <f aca="false">(LN($E$18)-LN($E$17))/(LN($C$9+$C$7)-LN($C$8+$C$7))</f>
        <v>-1.42857142857143</v>
      </c>
      <c r="D22" s="16" t="s">
        <v>267</v>
      </c>
    </row>
    <row r="23" customFormat="false" ht="25.5" hidden="false" customHeight="true" outlineLevel="0" collapsed="false">
      <c r="B23" s="20" t="s">
        <v>268</v>
      </c>
      <c r="C23" s="20"/>
      <c r="D23" s="20"/>
      <c r="E23" s="20"/>
      <c r="F23" s="20"/>
      <c r="G23" s="20"/>
      <c r="H23" s="20"/>
      <c r="I23" s="20"/>
    </row>
    <row r="25" customFormat="false" ht="15" hidden="false" customHeight="false" outlineLevel="0" collapsed="false">
      <c r="B25" s="13" t="s">
        <v>269</v>
      </c>
      <c r="C25" s="13"/>
      <c r="D25" s="13"/>
      <c r="E25" s="13"/>
      <c r="F25" s="13"/>
      <c r="G25" s="13"/>
      <c r="H25" s="13"/>
      <c r="I25" s="13"/>
      <c r="J25" s="13"/>
    </row>
    <row r="26" customFormat="false" ht="15" hidden="false" customHeight="false" outlineLevel="0" collapsed="false">
      <c r="B26" s="7" t="s">
        <v>270</v>
      </c>
      <c r="C26" s="17" t="n">
        <f aca="false">$E$17-$C$10</f>
        <v>12.2128157528199</v>
      </c>
    </row>
    <row r="27" customFormat="false" ht="15" hidden="false" customHeight="false" outlineLevel="0" collapsed="false">
      <c r="B27" s="9" t="s">
        <v>271</v>
      </c>
      <c r="C27" s="18" t="n">
        <f aca="false">$C$7*$C$10</f>
        <v>6</v>
      </c>
    </row>
    <row r="28" customFormat="false" ht="15" hidden="false" customHeight="false" outlineLevel="0" collapsed="false">
      <c r="B28" s="7" t="s">
        <v>272</v>
      </c>
      <c r="C28" s="17" t="n">
        <f aca="false">$E$17-$C$10+$C$7*$C$10</f>
        <v>18.2128157528199</v>
      </c>
    </row>
    <row r="29" customFormat="false" ht="15" hidden="false" customHeight="false" outlineLevel="0" collapsed="false">
      <c r="B29" s="9" t="s">
        <v>273</v>
      </c>
      <c r="C29" s="23" t="n">
        <f aca="false">$C$7*$C$10/($E$17-$C$10+$C$7*$C$10)</f>
        <v>0.329438351621771</v>
      </c>
    </row>
    <row r="31" customFormat="false" ht="15" hidden="false" customHeight="false" outlineLevel="0" collapsed="false">
      <c r="B31" s="13" t="s">
        <v>274</v>
      </c>
      <c r="C31" s="13"/>
      <c r="D31" s="13"/>
      <c r="E31" s="13"/>
      <c r="F31" s="13"/>
      <c r="G31" s="13"/>
      <c r="H31" s="13"/>
      <c r="I31" s="13"/>
      <c r="J31" s="13"/>
    </row>
    <row r="32" customFormat="false" ht="23.85" hidden="false" customHeight="false" outlineLevel="0" collapsed="false">
      <c r="B32" s="3" t="s">
        <v>95</v>
      </c>
      <c r="C32" s="3" t="s">
        <v>258</v>
      </c>
      <c r="D32" s="3" t="s">
        <v>275</v>
      </c>
      <c r="E32" s="3" t="s">
        <v>276</v>
      </c>
    </row>
    <row r="33" customFormat="false" ht="15" hidden="false" customHeight="false" outlineLevel="0" collapsed="false">
      <c r="B33" s="23" t="n">
        <v>0.01</v>
      </c>
      <c r="C33" s="19" t="n">
        <f aca="false">B33+$C$7</f>
        <v>0.11</v>
      </c>
      <c r="D33" s="18" t="n">
        <f aca="false">($C$6*$C$5/C33)^(1/(1-$C$6))</f>
        <v>112.471066584848</v>
      </c>
      <c r="E33" s="18" t="n">
        <f aca="false">D33-$C$10</f>
        <v>52.471066584848</v>
      </c>
    </row>
    <row r="34" customFormat="false" ht="15" hidden="false" customHeight="false" outlineLevel="0" collapsed="false">
      <c r="B34" s="23" t="n">
        <v>0.02</v>
      </c>
      <c r="C34" s="19" t="n">
        <f aca="false">B34+$C$7</f>
        <v>0.12</v>
      </c>
      <c r="D34" s="18" t="n">
        <f aca="false">($C$6*$C$5/C34)^(1/(1-$C$6))</f>
        <v>99.3246755877315</v>
      </c>
      <c r="E34" s="18" t="n">
        <f aca="false">D34-$C$10</f>
        <v>39.3246755877315</v>
      </c>
    </row>
    <row r="35" customFormat="false" ht="15" hidden="false" customHeight="false" outlineLevel="0" collapsed="false">
      <c r="B35" s="23" t="n">
        <v>0.03</v>
      </c>
      <c r="C35" s="19" t="n">
        <f aca="false">B35+$C$7</f>
        <v>0.13</v>
      </c>
      <c r="D35" s="18" t="n">
        <f aca="false">($C$6*$C$5/C35)^(1/(1-$C$6))</f>
        <v>88.5925094229598</v>
      </c>
      <c r="E35" s="18" t="n">
        <f aca="false">D35-$C$10</f>
        <v>28.5925094229598</v>
      </c>
    </row>
    <row r="36" customFormat="false" ht="15" hidden="false" customHeight="false" outlineLevel="0" collapsed="false">
      <c r="B36" s="23" t="n">
        <v>0.04</v>
      </c>
      <c r="C36" s="19" t="n">
        <f aca="false">B36+$C$7</f>
        <v>0.14</v>
      </c>
      <c r="D36" s="18" t="n">
        <f aca="false">($C$6*$C$5/C36)^(1/(1-$C$6))</f>
        <v>79.6927629974406</v>
      </c>
      <c r="E36" s="18" t="n">
        <f aca="false">D36-$C$10</f>
        <v>19.6927629974406</v>
      </c>
    </row>
    <row r="37" customFormat="false" ht="15" hidden="false" customHeight="false" outlineLevel="0" collapsed="false">
      <c r="B37" s="23" t="n">
        <v>0.05</v>
      </c>
      <c r="C37" s="19" t="n">
        <f aca="false">B37+$C$7</f>
        <v>0.15</v>
      </c>
      <c r="D37" s="18" t="n">
        <f aca="false">($C$6*$C$5/C37)^(1/(1-$C$6))</f>
        <v>72.2128157528199</v>
      </c>
      <c r="E37" s="18" t="n">
        <f aca="false">D37-$C$10</f>
        <v>12.2128157528199</v>
      </c>
    </row>
    <row r="38" customFormat="false" ht="15" hidden="false" customHeight="false" outlineLevel="0" collapsed="false">
      <c r="B38" s="23" t="n">
        <v>0.06</v>
      </c>
      <c r="C38" s="19" t="n">
        <f aca="false">B38+$C$7</f>
        <v>0.16</v>
      </c>
      <c r="D38" s="18" t="n">
        <f aca="false">($C$6*$C$5/C38)^(1/(1-$C$6))</f>
        <v>65.852648416451</v>
      </c>
      <c r="E38" s="18" t="n">
        <f aca="false">D38-$C$10</f>
        <v>5.85264841645099</v>
      </c>
    </row>
    <row r="39" customFormat="false" ht="15" hidden="false" customHeight="false" outlineLevel="0" collapsed="false">
      <c r="B39" s="23" t="n">
        <v>0.08</v>
      </c>
      <c r="C39" s="19" t="n">
        <f aca="false">B39+$C$7</f>
        <v>0.18</v>
      </c>
      <c r="D39" s="18" t="n">
        <f aca="false">($C$6*$C$5/C39)^(1/(1-$C$6))</f>
        <v>55.6542345183167</v>
      </c>
      <c r="E39" s="18" t="n">
        <f aca="false">D39-$C$10</f>
        <v>-4.34576548168332</v>
      </c>
    </row>
    <row r="40" customFormat="false" ht="15" hidden="false" customHeight="false" outlineLevel="0" collapsed="false">
      <c r="B40" s="23" t="n">
        <v>0.1</v>
      </c>
      <c r="C40" s="19" t="n">
        <f aca="false">B40+$C$7</f>
        <v>0.2</v>
      </c>
      <c r="D40" s="18" t="n">
        <f aca="false">($C$6*$C$5/C40)^(1/(1-$C$6))</f>
        <v>47.8773792996892</v>
      </c>
      <c r="E40" s="18" t="n">
        <f aca="false">D40-$C$10</f>
        <v>-12.1226207003108</v>
      </c>
    </row>
    <row r="41" customFormat="false" ht="15" hidden="false" customHeight="false" outlineLevel="0" collapsed="false">
      <c r="B41" s="23" t="n">
        <v>0.12</v>
      </c>
      <c r="C41" s="19" t="n">
        <f aca="false">B41+$C$7</f>
        <v>0.22</v>
      </c>
      <c r="D41" s="18" t="n">
        <f aca="false">($C$6*$C$5/C41)^(1/(1-$C$6))</f>
        <v>41.7828406595564</v>
      </c>
      <c r="E41" s="18" t="n">
        <f aca="false">D41-$C$10</f>
        <v>-18.2171593404436</v>
      </c>
    </row>
    <row r="42" customFormat="false" ht="15" hidden="false" customHeight="false" outlineLevel="0" collapsed="false">
      <c r="B42" s="23" t="n">
        <v>0.15</v>
      </c>
      <c r="C42" s="19" t="n">
        <f aca="false">B42+$C$7</f>
        <v>0.25</v>
      </c>
      <c r="D42" s="18" t="n">
        <f aca="false">($C$6*$C$5/C42)^(1/(1-$C$6))</f>
        <v>34.8086751820549</v>
      </c>
      <c r="E42" s="18" t="n">
        <f aca="false">D42-$C$10</f>
        <v>-25.1913248179451</v>
      </c>
    </row>
    <row r="43" customFormat="false" ht="15" hidden="false" customHeight="false" outlineLevel="0" collapsed="false">
      <c r="B43" s="23" t="n">
        <v>0.2</v>
      </c>
      <c r="C43" s="19" t="n">
        <f aca="false">B43+$C$7</f>
        <v>0.3</v>
      </c>
      <c r="D43" s="18" t="n">
        <f aca="false">($C$6*$C$5/C43)^(1/(1-$C$6))</f>
        <v>26.8269579527973</v>
      </c>
      <c r="E43" s="18" t="n">
        <f aca="false">D43-$C$10</f>
        <v>-33.1730420472028</v>
      </c>
    </row>
  </sheetData>
  <mergeCells count="9">
    <mergeCell ref="B1:J1"/>
    <mergeCell ref="B2:J2"/>
    <mergeCell ref="B4:J4"/>
    <mergeCell ref="B12:J12"/>
    <mergeCell ref="B13:I13"/>
    <mergeCell ref="B15:J15"/>
    <mergeCell ref="B23:I23"/>
    <mergeCell ref="B25:J25"/>
    <mergeCell ref="B31:J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2026-08-04T12:23:30Z</dcterms:created>
  <dc:creator>openpyxl</dc:creator>
  <dc:description/>
  <dc:language>en-US</dc:language>
  <cp:lastModifiedBy/>
  <dcterms:modified xsi:type="dcterms:W3CDTF">2026-08-04T12:23:33Z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