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Índice" sheetId="1" state="visible" r:id="rId3"/>
    <sheet name="Ejercicio" sheetId="2" state="visible" r:id="rId4"/>
    <sheet name="Gráfico" sheetId="3" state="visible" r:id="rId5"/>
    <sheet name="Sensibilidad" sheetId="4" state="visible" r:id="rId6"/>
    <sheet name="Casos límite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<sst xmlns="http://schemas.openxmlformats.org/spreadsheetml/2006/main" count="178" uniqueCount="150">
  <si>
    <t xml:space="preserve">Clase 1 · Slide 18 — Ejercicio guiado: resolver un problema completo de principio a fin</t>
  </si>
  <si>
    <t xml:space="preserve">Datos: y₁ = 100, y₂ = 120, r = 5%, β = 0,95, σ = 2.   Se pide c₁*, c₂* y s₁*.
Las celdas amarillas son los parámetros: cámbialos y toda la planilla se recalcula.</t>
  </si>
  <si>
    <t xml:space="preserve">Hoja</t>
  </si>
  <si>
    <t xml:space="preserve">Contenido</t>
  </si>
  <si>
    <t xml:space="preserve">Detalle</t>
  </si>
  <si>
    <t xml:space="preserve">Ejercicio</t>
  </si>
  <si>
    <t xml:space="preserve">Los 6 pasos de la slide, con fórmulas vivas</t>
  </si>
  <si>
    <t xml:space="preserve">Riqueza W → factor Γ → denominador → c₁*, c₂* → ahorro s₁* → verificación</t>
  </si>
  <si>
    <t xml:space="preserve">Gráfico</t>
  </si>
  <si>
    <t xml:space="preserve">Representación del óptimo</t>
  </si>
  <si>
    <t xml:space="preserve">Recta presupuestaria, curva de indiferencia CRRA, dotación y punto óptimo</t>
  </si>
  <si>
    <t xml:space="preserve">Sensibilidad</t>
  </si>
  <si>
    <t xml:space="preserve">Estática comparativa</t>
  </si>
  <si>
    <t xml:space="preserve">Barridos de σ, β y r; cuándo el hogar pasa de deudor a acreedor</t>
  </si>
  <si>
    <t xml:space="preserve">Casos límite</t>
  </si>
  <si>
    <t xml:space="preserve">Los tres casos de la slide 16</t>
  </si>
  <si>
    <t xml:space="preserve">β(1+r)=1 · σ→∞ (EIS→0) · σ→0 (utilidad casi lineal)</t>
  </si>
  <si>
    <t xml:space="preserve">Resultado esperado (slide 18):</t>
  </si>
  <si>
    <t xml:space="preserve">   W</t>
  </si>
  <si>
    <t xml:space="preserve">214,29</t>
  </si>
  <si>
    <t xml:space="preserve">   Γ</t>
  </si>
  <si>
    <t xml:space="preserve">0,99875</t>
  </si>
  <si>
    <t xml:space="preserve">   denominador</t>
  </si>
  <si>
    <t xml:space="preserve">1,95119</t>
  </si>
  <si>
    <t xml:space="preserve">   c₁*</t>
  </si>
  <si>
    <t xml:space="preserve">109,82</t>
  </si>
  <si>
    <t xml:space="preserve">   c₂*</t>
  </si>
  <si>
    <t xml:space="preserve">109,69</t>
  </si>
  <si>
    <t xml:space="preserve">   s₁*</t>
  </si>
  <si>
    <t xml:space="preserve">−9,82</t>
  </si>
  <si>
    <t xml:space="preserve">Fuente: Macroeconomia_II_USM_12_clases.pptx, slide 18 (pág. 16) — Módulo I · Microfundamentos, Marcelo Villena, PhD.</t>
  </si>
  <si>
    <t xml:space="preserve">Ejercicio guiado · Resolver un problema completo de principio a fin</t>
  </si>
  <si>
    <t xml:space="preserve">Un hogar vive dos períodos con utilidad CRRA. Datos: y₁ = 100, y₂ = 120, r = 5%, β = 0,95, σ = 2. Se pide c₁*, c₂* y s₁*.</t>
  </si>
  <si>
    <t xml:space="preserve">Datos del problema</t>
  </si>
  <si>
    <t xml:space="preserve">Ingreso presente   y₁</t>
  </si>
  <si>
    <t xml:space="preserve">Factor de descuento   β</t>
  </si>
  <si>
    <t xml:space="preserve">Ingreso futuro   y₂</t>
  </si>
  <si>
    <t xml:space="preserve">Aversión relativa al riesgo   σ</t>
  </si>
  <si>
    <t xml:space="preserve">Tasa real   r</t>
  </si>
  <si>
    <t xml:space="preserve">EIS = 1/σ</t>
  </si>
  <si>
    <t xml:space="preserve">Resolución paso a paso</t>
  </si>
  <si>
    <t xml:space="preserve">Resultado</t>
  </si>
  <si>
    <t xml:space="preserve">Paso 1 · Calcular la riqueza</t>
  </si>
  <si>
    <t xml:space="preserve">W = y₁ + y₂/(1+r)</t>
  </si>
  <si>
    <t xml:space="preserve">Traiga el ingreso futuro a valor presente. La restricción intertemporal es c₁ + c₂/(1+r) = y₁ + y₂/(1+r) ≡ W.</t>
  </si>
  <si>
    <t xml:space="preserve">Paso 2 · Factor de crecimiento Γ</t>
  </si>
  <si>
    <t xml:space="preserve">Γ = [β(1+r)]^(1/σ)</t>
  </si>
  <si>
    <t xml:space="preserve">La ecuación de Euler CRRA, u'(c₁) = β(1+r)u'(c₂), implica c₂/c₁ = [β(1+r)]^(1/σ) ≡ Γ. Define la INCLINACIÓN del perfil de consumo, no su nivel.</t>
  </si>
  <si>
    <t xml:space="preserve">Paso 3 · Construir el denominador</t>
  </si>
  <si>
    <t xml:space="preserve">1 + Γ/(1+r)</t>
  </si>
  <si>
    <t xml:space="preserve">Sustituyendo c₂ = Γ·c₁ en la restricción: c₁·[1 + Γ/(1+r)] = W. El corchete es el denominador.</t>
  </si>
  <si>
    <t xml:space="preserve">Paso 4 · Consumo presente c₁*</t>
  </si>
  <si>
    <t xml:space="preserve">c₁* = W / [1 + Γ/(1+r)]</t>
  </si>
  <si>
    <t xml:space="preserve">El nivel del consumo lo fija la riqueza; el denominador reparte esa riqueza entre los dos períodos.</t>
  </si>
  <si>
    <t xml:space="preserve">Paso 4 · Consumo futuro c₂*</t>
  </si>
  <si>
    <t xml:space="preserve">c₂* = Γ · c₁*</t>
  </si>
  <si>
    <t xml:space="preserve">Se obtiene aplicando la inclinación de Euler al consumo presente.</t>
  </si>
  <si>
    <t xml:space="preserve">Paso 5 · Ahorro s₁*</t>
  </si>
  <si>
    <t xml:space="preserve">s₁* = y₁ − c₁*</t>
  </si>
  <si>
    <t xml:space="preserve">Es negativo: el hogar SE ENDEUDA porque su ingreso futuro es mayor que el presente y desea un perfil de consumo casi plano.</t>
  </si>
  <si>
    <t xml:space="preserve">Paso 6 · Verificación</t>
  </si>
  <si>
    <t xml:space="preserve">c₂ = y₂ + (1+r)·s₁*</t>
  </si>
  <si>
    <t xml:space="preserve">Reconstruimos c₂ desde la restricción de flujo del período 2: c₂ = y₂ + (1+r)s₁. Debe coincidir con el c₂* del paso 4.</t>
  </si>
  <si>
    <t xml:space="preserve">Chequeos de consistencia (los cuatro de la slide 16)</t>
  </si>
  <si>
    <t xml:space="preserve">① Restricción satisfecha:  c₁* + c₂*/(1+r) − W</t>
  </si>
  <si>
    <t xml:space="preserve">debe ser 0</t>
  </si>
  <si>
    <t xml:space="preserve">② Verificación del paso 6:  c₂ reconstruido − c₂*</t>
  </si>
  <si>
    <t xml:space="preserve">③ Euler se cumple:  c₁*^(−σ) − β(1+r)·c₂*^(−σ)</t>
  </si>
  <si>
    <t xml:space="preserve">④ Propensión a consumir de la riqueza  c₁*/W  ∈ (0,1)</t>
  </si>
  <si>
    <t xml:space="preserve">igual a 1/[1+Γ/(1+r)]</t>
  </si>
  <si>
    <t xml:space="preserve">⑤ Homogeneidad de grado 1: si se duplican y₁ e y₂, c₁* se duplica</t>
  </si>
  <si>
    <t xml:space="preserve">debe ser exactamente 2</t>
  </si>
  <si>
    <t xml:space="preserve">Interpretación económica</t>
  </si>
  <si>
    <t xml:space="preserve">Tasa de preferencia por el presente   ρ = 1/β − 1</t>
  </si>
  <si>
    <t xml:space="preserve">Comparación   β(1+r)</t>
  </si>
  <si>
    <t xml:space="preserve">Perfil de consumo</t>
  </si>
  <si>
    <t xml:space="preserve">Posición financiera neta</t>
  </si>
  <si>
    <t xml:space="preserve">Como β(1+r) = 0,9975 &lt; 1, el hogar es levemente impaciente y prefiere un perfil de consumo apenas decreciente… pero casi plano. Al mismo tiempo su ingreso crece (y₂ &gt; y₁), así que para lograr ese perfil casi plano necesita adelantar recursos: se endeuda en 9,82 hoy y devuelve 10,31 mañana.</t>
  </si>
  <si>
    <t xml:space="preserve">Ojo con el error frecuente del examen: escribir c₂/c₁ = β(1+r) olvidando el exponente 1/σ. Eso solo es válido con utilidad logarítmica (σ = 1). Aquí σ = 2, y el exponente 1/2 amortigua la inclinación a la mitad (en logs).</t>
  </si>
  <si>
    <t xml:space="preserve">Representación gráfica del óptimo</t>
  </si>
  <si>
    <t xml:space="preserve">Recta presupuestaria (pendiente −(1+r), pasa por la dotación), curva de indiferencia CRRA tangente en el óptimo, la dotación y el punto elegido.</t>
  </si>
  <si>
    <t xml:space="preserve">Referencias tomadas de la hoja Ejercicio</t>
  </si>
  <si>
    <t xml:space="preserve">Riqueza   W</t>
  </si>
  <si>
    <t xml:space="preserve">Consumo óptimo   c₁*</t>
  </si>
  <si>
    <t xml:space="preserve">Consumo óptimo   c₂*</t>
  </si>
  <si>
    <t xml:space="preserve">Dotación   y₁</t>
  </si>
  <si>
    <t xml:space="preserve">Dotación   y₂</t>
  </si>
  <si>
    <t xml:space="preserve">Tasa   r</t>
  </si>
  <si>
    <t xml:space="preserve">Descuento   β</t>
  </si>
  <si>
    <t xml:space="preserve">Aversión   σ</t>
  </si>
  <si>
    <t xml:space="preserve">Factor de Euler   Γ = c₂*/c₁*</t>
  </si>
  <si>
    <t xml:space="preserve">Utilidad alcanzada   U*  =  u(c₁*) + β·u(c₂*)</t>
  </si>
  <si>
    <t xml:space="preserve">con u(c) = c^(1−σ)/(1−σ)</t>
  </si>
  <si>
    <t xml:space="preserve">La curva de indiferencia se traza de forma paramétrica: para cada razón t = c₂/c₁ se despeja el único c₁ que entrega la utilidad U*. De u(c₁) + β·u(t·c₁) = U* con CRRA sale c₁(t) = { U*(1−σ) / [1 + β·t^(1−σ)] }^(1/(1−σ)), y c₂ = t·c₁. Esta parametrización nunca se indefine, a diferencia de despejar c₂ desde una grilla de c₁.</t>
  </si>
  <si>
    <t xml:space="preserve">Recta presupuestaria</t>
  </si>
  <si>
    <t xml:space="preserve">Dotación</t>
  </si>
  <si>
    <t xml:space="preserve">Óptimo</t>
  </si>
  <si>
    <t xml:space="preserve">c₁</t>
  </si>
  <si>
    <t xml:space="preserve">c₂</t>
  </si>
  <si>
    <t xml:space="preserve">c₁*</t>
  </si>
  <si>
    <t xml:space="preserve">c₂*</t>
  </si>
  <si>
    <t xml:space="preserve">Curva de indiferencia U* (paramétrica en t = c₂/c₁)</t>
  </si>
  <si>
    <t xml:space="preserve">t = c₂/c₁</t>
  </si>
  <si>
    <t xml:space="preserve">c₁(t)</t>
  </si>
  <si>
    <t xml:space="preserve">c₂(t)</t>
  </si>
  <si>
    <t xml:space="preserve">El óptimo está a la DERECHA de la dotación: c₁* &gt; y₁. Esa distancia horizontal es exactamente el endeudamiento del período 1. La curva de indiferencia toca la recta justo donde su pendiente (la TMS) iguala −(1+r): esa igualdad es la ecuación de Euler.</t>
  </si>
  <si>
    <t xml:space="preserve">Estática comparativa del ejercicio</t>
  </si>
  <si>
    <t xml:space="preserve">Qué pasa con c₁*, c₂* y s₁* al mover σ, β y r, manteniendo los demás datos de la slide. Fórmula usada: c₁* = W/[1 + Γ/(1+r)] con Γ = [β(1+r)]^(1/σ).</t>
  </si>
  <si>
    <t xml:space="preserve">A · Variando la aversión al riesgo σ  (β y r en su valor base)</t>
  </si>
  <si>
    <t xml:space="preserve">σ</t>
  </si>
  <si>
    <t xml:space="preserve">Γ</t>
  </si>
  <si>
    <t xml:space="preserve">s₁*</t>
  </si>
  <si>
    <t xml:space="preserve">c₂*/c₁*</t>
  </si>
  <si>
    <t xml:space="preserve">σ grande (EIS pequeña) ⇒ Γ → 1: el hogar rechaza inclinar el consumo y la senda se aplana. σ pequeña (EIS grande) ⇒ Γ se aleja de 1: el hogar responde fuerte al precio intertemporal. Nótese que el ahorro apenas se mueve: aquí lo que domina es el perfil del ingreso, no σ.</t>
  </si>
  <si>
    <t xml:space="preserve">B · Variando la tasa real r  (σ y β en su valor base)</t>
  </si>
  <si>
    <t xml:space="preserve">r</t>
  </si>
  <si>
    <t xml:space="preserve">W</t>
  </si>
  <si>
    <t xml:space="preserve">β(1+r)</t>
  </si>
  <si>
    <t xml:space="preserve">Tasa que deja el consumo perfectamente plano:  r = ρ = 1/β − 1</t>
  </si>
  <si>
    <t xml:space="preserve">Tasa a la que el hogar deja de endeudarse  (s₁* = 0)</t>
  </si>
  <si>
    <t xml:space="preserve">resuelve  Γ(r) = y₂/y₁</t>
  </si>
  <si>
    <t xml:space="preserve">Comprobación: Γ a esa tasa  (debe ser y₂/y₁)</t>
  </si>
  <si>
    <t xml:space="preserve">Razón y₂/y₁</t>
  </si>
  <si>
    <t xml:space="preserve">Con s₁* = 0 el hogar consume exactamente su dotación, lo que exige y₂/y₁ = Γ = [β(1+r)]^(1/σ), es decir r* = (y₂/y₁)^σ/β − 1. Por debajo de esa tasa el hogar se endeuda; por encima, ahorra. Es el mismo umbral que separa a los ganadores de los perdedores de un alza de r.</t>
  </si>
  <si>
    <t xml:space="preserve">C · Variando el factor de descuento β  (σ y r en su valor base)</t>
  </si>
  <si>
    <t xml:space="preserve">β</t>
  </si>
  <si>
    <t xml:space="preserve">ρ = 1/β − 1</t>
  </si>
  <si>
    <t xml:space="preserve">perfil</t>
  </si>
  <si>
    <t xml:space="preserve">β = 0,9524 ≈ 1/(1+r) es el caso β(1+r) = 1 de la slide 16: impaciencia y remuneración del ahorro se cancelan exactamente y el consumo queda perfectamente suavizado (Γ = 1, c₁* = c₂*). Es el caso de referencia de la Hipótesis del Ingreso Permanente.</t>
  </si>
  <si>
    <t xml:space="preserve">Los tres casos límite de la slide 16, con los datos de este ejercicio</t>
  </si>
  <si>
    <t xml:space="preserve">Antes de usar una fórmula conviene verificar que se comporte bien en los extremos: es el mejor detector de errores algebraicos.</t>
  </si>
  <si>
    <t xml:space="preserve">Caso 1 · β(1+r) = 1  →  suavización perfecta</t>
  </si>
  <si>
    <t xml:space="preserve">β que iguala 1/(1+r)</t>
  </si>
  <si>
    <t xml:space="preserve">Γ resultante</t>
  </si>
  <si>
    <t xml:space="preserve"> = 1 exactamente</t>
  </si>
  <si>
    <t xml:space="preserve">c₁* = c₂*</t>
  </si>
  <si>
    <t xml:space="preserve">Ahorro s₁*</t>
  </si>
  <si>
    <t xml:space="preserve">Impaciencia y remuneración del ahorro se cancelan exactamente: el hogar consume lo mismo en ambos períodos. Es el caso de referencia de la Hipótesis del Ingreso Permanente.</t>
  </si>
  <si>
    <t xml:space="preserve">Caso 2 · σ → ∞  (EIS → 0)  →  senda insensible a la tasa</t>
  </si>
  <si>
    <t xml:space="preserve">Γ → 1: el hogar se niega a mover consumo entre períodos sin importar cuánto le paguen. El límite es c₁* = c₂* = W/[1 + 1/(1+r)], el mismo valor del Caso 1 — pero por una razón distinta: allá era indiferencia temporal, acá es rechazo a la desigualdad intertemporal.</t>
  </si>
  <si>
    <t xml:space="preserve">Caso 3 · σ → 0  (utilidad casi lineal)  →  soluciones de esquina</t>
  </si>
  <si>
    <t xml:space="preserve">comentario</t>
  </si>
  <si>
    <t xml:space="preserve">Como β(1+r) = 0,9975 &lt; 1, al bajar σ el hogar se vuelve casi indiferente al perfil y termina consumiendo prácticamente toda la riqueza hoy: c₁* → W y c₂* → 0. Si en cambio fuera β(1+r) &gt; 1, el límite sería el opuesto (todo mañana). Ese es el sentido de «soluciones de esquina» de la slide 16.</t>
  </si>
  <si>
    <t xml:space="preserve">Error frecuente en el examen</t>
  </si>
  <si>
    <t xml:space="preserve">Versión</t>
  </si>
  <si>
    <t xml:space="preserve">Γ = c₂*/c₁*</t>
  </si>
  <si>
    <t xml:space="preserve">error en c₁*</t>
  </si>
  <si>
    <t xml:space="preserve">Correcta:  Γ = [β(1+r)]^(1/σ)</t>
  </si>
  <si>
    <t xml:space="preserve">Errónea:  Γ = β(1+r)  (olvida el 1/σ)</t>
  </si>
  <si>
    <t xml:space="preserve">La versión errónea solo coincide con la correcta cuando σ = 1 (utilidad logarítmica). Con σ = 2 el error en c₁* es pequeño en este ejercicio porque β(1+r) está muy cerca de 1, pero crece rápido en cuanto r se aleja de ρ: prueba a poner r = 20% en la hoja Ejercicio.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</si>
</sst>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#,##0.00"/>
    <numFmt numFmtId="166" formatCode="0.00%"/>
    <numFmt numFmtId="167" formatCode="#,##0.00000"/>
    <numFmt numFmtId="168" formatCode="0.000E+00"/>
    <numFmt numFmtId="169" formatCode="#,##0.000"/>
    <numFmt numFmtId="170" formatCode="0.0000%"/>
    <numFmt numFmtId="171" formatCode="0.0000"/>
    <numFmt numFmtId="172" formatCode="0.000000"/>
    <numFmt numFmtId="173" formatCode="0"/>
    <numFmt numFmtId="174" formatCode="0.0000000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10"/>
      <color rgb="FF40404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u val="single"/>
      <sz val="10"/>
      <color rgb="FF0563C1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4472C4"/>
        <bgColor rgb="FF0563C1"/>
      </patternFill>
    </fill>
    <fill>
      <patternFill patternType="solid">
        <fgColor rgb="FFF2F2F2"/>
        <bgColor rgb="FFDDEBF7"/>
      </patternFill>
    </fill>
    <fill>
      <patternFill patternType="solid">
        <fgColor rgb="FFFFFF00"/>
        <bgColor rgb="FFFFFF00"/>
      </patternFill>
    </fill>
    <fill>
      <patternFill patternType="solid">
        <fgColor rgb="FFDDEBF7"/>
        <bgColor rgb="FFF2F2F2"/>
      </patternFill>
    </fill>
    <fill>
      <patternFill patternType="solid">
        <fgColor rgb="FFC55A11"/>
        <bgColor rgb="FF9933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5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5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5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5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5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5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89142"/>
      <rgbColor rgb="FF800080"/>
      <rgbColor rgb="FF008080"/>
      <rgbColor rgb="FFBFBFBF"/>
      <rgbColor rgb="FF878787"/>
      <rgbColor rgb="FF9999FF"/>
      <rgbColor rgb="FF993366"/>
      <rgbColor rgb="FFF2F2F2"/>
      <rgbColor rgb="FFDDEBF7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3C992"/>
      <rgbColor rgb="FFFF99CC"/>
      <rgbColor rgb="FFCC99FF"/>
      <rgbColor rgb="FFFFCC99"/>
      <rgbColor rgb="FF4472C4"/>
      <rgbColor rgb="FF33CCCC"/>
      <rgbColor rgb="FF8EAD4F"/>
      <rgbColor rgb="FFFFCC00"/>
      <rgbColor rgb="FFFF9900"/>
      <rgbColor rgb="FFC55A11"/>
      <rgbColor rgb="FF595959"/>
      <rgbColor rgb="FF87A44B"/>
      <rgbColor rgb="FF1F3864"/>
      <rgbColor rgb="FF339966"/>
      <rgbColor rgb="FF003300"/>
      <rgbColor rgb="FF333300"/>
      <rgbColor rgb="FF993300"/>
      <rgbColor rgb="FF993366"/>
      <rgbColor rgb="FF333399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El óptimo: tangencia entre la recta presupuestaria y la curva de indiferencia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"Recta presupuestaria"</c:f>
              <c:strCache>
                <c:ptCount val="1"/>
                <c:pt idx="0">
                  <c:v>Recta presupuestaria</c:v>
                </c:pt>
              </c:strCache>
            </c:strRef>
          </c:tx>
          <c:spPr>
            <a:solidFill>
              <a:srgbClr val="789142"/>
            </a:solidFill>
            <a:ln w="21960">
              <a:solidFill>
                <a:srgbClr val="789142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Gráfico!$B$20:$B$21</c:f>
              <c:numCache>
                <c:formatCode>#,##0.00</c:formatCode>
                <c:ptCount val="2"/>
                <c:pt idx="0">
                  <c:v>0</c:v>
                </c:pt>
                <c:pt idx="1">
                  <c:v>214.285714285714</c:v>
                </c:pt>
              </c:numCache>
            </c:numRef>
          </c:xVal>
          <c:yVal>
            <c:numRef>
              <c:f>Gráfico!$C$20:$C$21</c:f>
              <c:numCache>
                <c:formatCode>#,##0.00</c:formatCode>
                <c:ptCount val="2"/>
                <c:pt idx="0">
                  <c:v>225</c:v>
                </c:pt>
                <c:pt idx="1">
                  <c:v>0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"Curva de indiferencia U*"</c:f>
              <c:strCache>
                <c:ptCount val="1"/>
                <c:pt idx="0">
                  <c:v>Curva de indiferencia U*</c:v>
                </c:pt>
              </c:strCache>
            </c:strRef>
          </c:tx>
          <c:spPr>
            <a:solidFill>
              <a:srgbClr val="8ead4f"/>
            </a:solidFill>
            <a:ln w="21960">
              <a:solidFill>
                <a:srgbClr val="8ead4f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Gráfico!$C$25:$C$85</c:f>
              <c:numCache>
                <c:formatCode>#,##0.00</c:formatCode>
                <c:ptCount val="61"/>
                <c:pt idx="0">
                  <c:v>209.059315266648</c:v>
                </c:pt>
                <c:pt idx="1">
                  <c:v>194.274723492207</c:v>
                </c:pt>
                <c:pt idx="2">
                  <c:v>182.099177325021</c:v>
                </c:pt>
                <c:pt idx="3">
                  <c:v>171.898044049811</c:v>
                </c:pt>
                <c:pt idx="4">
                  <c:v>163.227080765883</c:v>
                </c:pt>
                <c:pt idx="5">
                  <c:v>155.766019335525</c:v>
                </c:pt>
                <c:pt idx="6">
                  <c:v>149.278139830867</c:v>
                </c:pt>
                <c:pt idx="7">
                  <c:v>143.584694551269</c:v>
                </c:pt>
                <c:pt idx="8">
                  <c:v>138.548185265471</c:v>
                </c:pt>
                <c:pt idx="9">
                  <c:v>134.061113356305</c:v>
                </c:pt>
                <c:pt idx="10">
                  <c:v>130.038221299811</c:v>
                </c:pt>
                <c:pt idx="11">
                  <c:v>126.411023543957</c:v>
                </c:pt>
                <c:pt idx="12">
                  <c:v>123.123875577713</c:v>
                </c:pt>
                <c:pt idx="13">
                  <c:v>120.131099071133</c:v>
                </c:pt>
                <c:pt idx="14">
                  <c:v>117.394846265118</c:v>
                </c:pt>
                <c:pt idx="15">
                  <c:v>114.883490950007</c:v>
                </c:pt>
                <c:pt idx="16">
                  <c:v>112.570400528195</c:v>
                </c:pt>
                <c:pt idx="17">
                  <c:v>110.432987859938</c:v>
                </c:pt>
                <c:pt idx="18">
                  <c:v>108.451971240578</c:v>
                </c:pt>
                <c:pt idx="19">
                  <c:v>106.610791088467</c:v>
                </c:pt>
                <c:pt idx="20">
                  <c:v>104.895145946727</c:v>
                </c:pt>
                <c:pt idx="21">
                  <c:v>103.292620264882</c:v>
                </c:pt>
                <c:pt idx="22">
                  <c:v>101.792383456346</c:v>
                </c:pt>
                <c:pt idx="23">
                  <c:v>100.384944800916</c:v>
                </c:pt>
                <c:pt idx="24">
                  <c:v>99.0619524648115</c:v>
                </c:pt>
                <c:pt idx="25">
                  <c:v>97.8160276434315</c:v>
                </c:pt>
                <c:pt idx="26">
                  <c:v>96.6406268685447</c:v>
                </c:pt>
                <c:pt idx="27">
                  <c:v>95.5299270537434</c:v>
                </c:pt>
                <c:pt idx="28">
                  <c:v>94.478729014735</c:v>
                </c:pt>
                <c:pt idx="29">
                  <c:v>93.4823760908053</c:v>
                </c:pt>
                <c:pt idx="30">
                  <c:v>92.5366851799568</c:v>
                </c:pt>
                <c:pt idx="31">
                  <c:v>91.6378880332826</c:v>
                </c:pt>
                <c:pt idx="32">
                  <c:v>90.7825810711249</c:v>
                </c:pt>
                <c:pt idx="33">
                  <c:v>89.9676823119038</c:v>
                </c:pt>
                <c:pt idx="34">
                  <c:v>89.1903942646467</c:v>
                </c:pt>
                <c:pt idx="35">
                  <c:v>88.4481718435817</c:v>
                </c:pt>
                <c:pt idx="36">
                  <c:v>87.7386945293284</c:v>
                </c:pt>
                <c:pt idx="37">
                  <c:v>87.0598421351147</c:v>
                </c:pt>
                <c:pt idx="38">
                  <c:v>86.409673644882</c:v>
                </c:pt>
                <c:pt idx="39">
                  <c:v>85.786408678383</c:v>
                </c:pt>
                <c:pt idx="40">
                  <c:v>85.1884112105258</c:v>
                </c:pt>
                <c:pt idx="41">
                  <c:v>84.6141752314577</c:v>
                </c:pt>
                <c:pt idx="42">
                  <c:v>84.0623120827429</c:v>
                </c:pt>
                <c:pt idx="43">
                  <c:v>83.531539245444</c:v>
                </c:pt>
                <c:pt idx="44">
                  <c:v>83.0206703895437</c:v>
                </c:pt>
                <c:pt idx="45">
                  <c:v>82.5286065222042</c:v>
                </c:pt>
                <c:pt idx="46">
                  <c:v>82.0543280958529</c:v>
                </c:pt>
                <c:pt idx="47">
                  <c:v>81.5968879568276</c:v>
                </c:pt>
                <c:pt idx="48">
                  <c:v>81.1554050319544</c:v>
                </c:pt>
                <c:pt idx="49">
                  <c:v>80.7290586645055</c:v>
                </c:pt>
                <c:pt idx="50">
                  <c:v>80.3170835229255</c:v>
                </c:pt>
                <c:pt idx="51">
                  <c:v>79.9187650158732</c:v>
                </c:pt>
                <c:pt idx="52">
                  <c:v>79.5334351557899</c:v>
                </c:pt>
                <c:pt idx="53">
                  <c:v>79.160468820629</c:v>
                </c:pt>
                <c:pt idx="54">
                  <c:v>78.7992803697364</c:v>
                </c:pt>
                <c:pt idx="55">
                  <c:v>78.4493205753482</c:v>
                </c:pt>
                <c:pt idx="56">
                  <c:v>78.1100738358903</c:v>
                </c:pt>
                <c:pt idx="57">
                  <c:v>77.7810556413407</c:v>
                </c:pt>
                <c:pt idx="58">
                  <c:v>77.4618102644509</c:v>
                </c:pt>
                <c:pt idx="59">
                  <c:v>77.1519086546897</c:v>
                </c:pt>
                <c:pt idx="60">
                  <c:v>76.8509465144407</c:v>
                </c:pt>
              </c:numCache>
            </c:numRef>
          </c:xVal>
          <c:yVal>
            <c:numRef>
              <c:f>Gráfico!$D$25:$D$85</c:f>
              <c:numCache>
                <c:formatCode>#,##0.00</c:formatCode>
                <c:ptCount val="61"/>
                <c:pt idx="0">
                  <c:v>73.1707603433267</c:v>
                </c:pt>
                <c:pt idx="1">
                  <c:v>75.2814553532303</c:v>
                </c:pt>
                <c:pt idx="2">
                  <c:v>77.392150363134</c:v>
                </c:pt>
                <c:pt idx="3">
                  <c:v>79.5028453730376</c:v>
                </c:pt>
                <c:pt idx="4">
                  <c:v>81.6135403829413</c:v>
                </c:pt>
                <c:pt idx="5">
                  <c:v>83.7242353928449</c:v>
                </c:pt>
                <c:pt idx="6">
                  <c:v>85.8349304027486</c:v>
                </c:pt>
                <c:pt idx="7">
                  <c:v>87.9456254126523</c:v>
                </c:pt>
                <c:pt idx="8">
                  <c:v>90.0563204225559</c:v>
                </c:pt>
                <c:pt idx="9">
                  <c:v>92.1670154324595</c:v>
                </c:pt>
                <c:pt idx="10">
                  <c:v>94.2777104423632</c:v>
                </c:pt>
                <c:pt idx="11">
                  <c:v>96.3884054522669</c:v>
                </c:pt>
                <c:pt idx="12">
                  <c:v>98.4991004621705</c:v>
                </c:pt>
                <c:pt idx="13">
                  <c:v>100.609795472074</c:v>
                </c:pt>
                <c:pt idx="14">
                  <c:v>102.720490481978</c:v>
                </c:pt>
                <c:pt idx="15">
                  <c:v>104.831185491881</c:v>
                </c:pt>
                <c:pt idx="16">
                  <c:v>106.941880501785</c:v>
                </c:pt>
                <c:pt idx="17">
                  <c:v>109.052575511689</c:v>
                </c:pt>
                <c:pt idx="18">
                  <c:v>111.163270521592</c:v>
                </c:pt>
                <c:pt idx="19">
                  <c:v>113.273965531496</c:v>
                </c:pt>
                <c:pt idx="20">
                  <c:v>115.3846605414</c:v>
                </c:pt>
                <c:pt idx="21">
                  <c:v>117.495355551303</c:v>
                </c:pt>
                <c:pt idx="22">
                  <c:v>119.606050561207</c:v>
                </c:pt>
                <c:pt idx="23">
                  <c:v>121.716745571111</c:v>
                </c:pt>
                <c:pt idx="24">
                  <c:v>123.827440581014</c:v>
                </c:pt>
                <c:pt idx="25">
                  <c:v>125.938135590918</c:v>
                </c:pt>
                <c:pt idx="26">
                  <c:v>128.048830600822</c:v>
                </c:pt>
                <c:pt idx="27">
                  <c:v>130.159525610725</c:v>
                </c:pt>
                <c:pt idx="28">
                  <c:v>132.270220620629</c:v>
                </c:pt>
                <c:pt idx="29">
                  <c:v>134.380915630533</c:v>
                </c:pt>
                <c:pt idx="30">
                  <c:v>136.491610640436</c:v>
                </c:pt>
                <c:pt idx="31">
                  <c:v>138.60230565034</c:v>
                </c:pt>
                <c:pt idx="32">
                  <c:v>140.713000660244</c:v>
                </c:pt>
                <c:pt idx="33">
                  <c:v>142.823695670147</c:v>
                </c:pt>
                <c:pt idx="34">
                  <c:v>144.934390680051</c:v>
                </c:pt>
                <c:pt idx="35">
                  <c:v>147.045085689955</c:v>
                </c:pt>
                <c:pt idx="36">
                  <c:v>149.155780699858</c:v>
                </c:pt>
                <c:pt idx="37">
                  <c:v>151.266475709762</c:v>
                </c:pt>
                <c:pt idx="38">
                  <c:v>153.377170719666</c:v>
                </c:pt>
                <c:pt idx="39">
                  <c:v>155.487865729569</c:v>
                </c:pt>
                <c:pt idx="40">
                  <c:v>157.598560739473</c:v>
                </c:pt>
                <c:pt idx="41">
                  <c:v>159.709255749376</c:v>
                </c:pt>
                <c:pt idx="42">
                  <c:v>161.81995075928</c:v>
                </c:pt>
                <c:pt idx="43">
                  <c:v>163.930645769184</c:v>
                </c:pt>
                <c:pt idx="44">
                  <c:v>166.041340779087</c:v>
                </c:pt>
                <c:pt idx="45">
                  <c:v>168.152035788991</c:v>
                </c:pt>
                <c:pt idx="46">
                  <c:v>170.262730798895</c:v>
                </c:pt>
                <c:pt idx="47">
                  <c:v>172.373425808798</c:v>
                </c:pt>
                <c:pt idx="48">
                  <c:v>174.484120818702</c:v>
                </c:pt>
                <c:pt idx="49">
                  <c:v>176.594815828606</c:v>
                </c:pt>
                <c:pt idx="50">
                  <c:v>178.705510838509</c:v>
                </c:pt>
                <c:pt idx="51">
                  <c:v>180.816205848413</c:v>
                </c:pt>
                <c:pt idx="52">
                  <c:v>182.926900858317</c:v>
                </c:pt>
                <c:pt idx="53">
                  <c:v>185.03759586822</c:v>
                </c:pt>
                <c:pt idx="54">
                  <c:v>187.148290878124</c:v>
                </c:pt>
                <c:pt idx="55">
                  <c:v>189.258985888028</c:v>
                </c:pt>
                <c:pt idx="56">
                  <c:v>191.369680897931</c:v>
                </c:pt>
                <c:pt idx="57">
                  <c:v>193.480375907835</c:v>
                </c:pt>
                <c:pt idx="58">
                  <c:v>195.591070917739</c:v>
                </c:pt>
                <c:pt idx="59">
                  <c:v>197.701765927642</c:v>
                </c:pt>
                <c:pt idx="60">
                  <c:v>199.812460937546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"Dotación (y₁, y₂)"</c:f>
              <c:strCache>
                <c:ptCount val="1"/>
                <c:pt idx="0">
                  <c:v>Dotación (y₁, y₂)</c:v>
                </c:pt>
              </c:strCache>
            </c:strRef>
          </c:tx>
          <c:spPr>
            <a:solidFill>
              <a:srgbClr val="ffffff"/>
            </a:solidFill>
            <a:ln w="47520">
              <a:noFill/>
            </a:ln>
          </c:spPr>
          <c:marker>
            <c:symbol val="diamond"/>
            <c:size val="10"/>
            <c:spPr>
              <a:noFill/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Gráfico!$E$20</c:f>
              <c:numCache>
                <c:formatCode>#,##0.00</c:formatCode>
                <c:ptCount val="1"/>
                <c:pt idx="0">
                  <c:v>100</c:v>
                </c:pt>
              </c:numCache>
            </c:numRef>
          </c:xVal>
          <c:yVal>
            <c:numRef>
              <c:f>Gráfico!$F$20</c:f>
              <c:numCache>
                <c:formatCode>#,##0.00</c:formatCode>
                <c:ptCount val="1"/>
                <c:pt idx="0">
                  <c:v>120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"Óptimo (c₁*, c₂*)"</c:f>
              <c:strCache>
                <c:ptCount val="1"/>
                <c:pt idx="0">
                  <c:v>Óptimo (c₁*, c₂*)</c:v>
                </c:pt>
              </c:strCache>
            </c:strRef>
          </c:tx>
          <c:spPr>
            <a:solidFill>
              <a:srgbClr val="ffffff"/>
            </a:solidFill>
            <a:ln w="47520">
              <a:noFill/>
            </a:ln>
          </c:spPr>
          <c:marker>
            <c:symbol val="circle"/>
            <c:size val="10"/>
            <c:spPr>
              <a:noFill/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Gráfico!$H$20</c:f>
              <c:numCache>
                <c:formatCode>#,##0.00</c:formatCode>
                <c:ptCount val="1"/>
                <c:pt idx="0">
                  <c:v>109.823104774481</c:v>
                </c:pt>
              </c:numCache>
            </c:numRef>
          </c:xVal>
          <c:yVal>
            <c:numRef>
              <c:f>Gráfico!$I$20</c:f>
              <c:numCache>
                <c:formatCode>#,##0.00</c:formatCode>
                <c:ptCount val="1"/>
                <c:pt idx="0">
                  <c:v>109.685739986795</c:v>
                </c:pt>
              </c:numCache>
            </c:numRef>
          </c:yVal>
          <c:smooth val="1"/>
        </c:ser>
        <c:axId val="73140471"/>
        <c:axId val="57388238"/>
      </c:scatterChart>
      <c:valAx>
        <c:axId val="73140471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c₁ (consumo presente)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7388238"/>
        <c:crosses val="autoZero"/>
        <c:crossBetween val="midCat"/>
      </c:valAx>
      <c:valAx>
        <c:axId val="5738823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c₂ (consumo futuro)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3140471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Γ y el ahorro según σ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Sensibilidad!D5</c:f>
              <c:strCache>
                <c:ptCount val="1"/>
                <c:pt idx="0">
                  <c:v>Γ</c:v>
                </c:pt>
              </c:strCache>
            </c:strRef>
          </c:tx>
          <c:spPr>
            <a:solidFill>
              <a:srgbClr val="87a44b"/>
            </a:solidFill>
            <a:ln w="47520">
              <a:solidFill>
                <a:srgbClr val="87a44b"/>
              </a:solidFill>
              <a:round/>
            </a:ln>
          </c:spPr>
          <c:marker>
            <c:symbol val="circle"/>
            <c:size val="5"/>
            <c:spPr>
              <a:solidFill>
                <a:srgbClr val="87a44b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Sensibilidad!$B$6:$B$14</c:f>
              <c:numCache>
                <c:formatCode>#,##0.00</c:formatCode>
                <c:ptCount val="9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1.5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10</c:v>
                </c:pt>
              </c:numCache>
            </c:numRef>
          </c:xVal>
          <c:yVal>
            <c:numRef>
              <c:f>Sensibilidad!$D$6:$D$14</c:f>
              <c:numCache>
                <c:formatCode>#,##0.00000</c:formatCode>
                <c:ptCount val="9"/>
                <c:pt idx="0">
                  <c:v>0.990037437539062</c:v>
                </c:pt>
                <c:pt idx="1">
                  <c:v>0.99500625</c:v>
                </c:pt>
                <c:pt idx="2">
                  <c:v>0.996668056327965</c:v>
                </c:pt>
                <c:pt idx="3">
                  <c:v>0.9975</c:v>
                </c:pt>
                <c:pt idx="4">
                  <c:v>0.998332638116157</c:v>
                </c:pt>
                <c:pt idx="5">
                  <c:v>0.998749217771909</c:v>
                </c:pt>
                <c:pt idx="6">
                  <c:v>0.999165971256106</c:v>
                </c:pt>
                <c:pt idx="7">
                  <c:v>0.999499499248685</c:v>
                </c:pt>
                <c:pt idx="8">
                  <c:v>0.999749718303879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Sensibilidad!G5</c:f>
              <c:strCache>
                <c:ptCount val="1"/>
                <c:pt idx="0">
                  <c:v>s₁*</c:v>
                </c:pt>
              </c:strCache>
            </c:strRef>
          </c:tx>
          <c:spPr>
            <a:solidFill>
              <a:srgbClr val="b3c992"/>
            </a:solidFill>
            <a:ln w="47520">
              <a:solidFill>
                <a:srgbClr val="b3c992"/>
              </a:solidFill>
              <a:round/>
            </a:ln>
          </c:spPr>
          <c:marker>
            <c:symbol val="circle"/>
            <c:size val="5"/>
            <c:spPr>
              <a:solidFill>
                <a:srgbClr val="b3c992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Sensibilidad!$B$6:$B$14</c:f>
              <c:numCache>
                <c:formatCode>#,##0.00</c:formatCode>
                <c:ptCount val="9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1.5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10</c:v>
                </c:pt>
              </c:numCache>
            </c:numRef>
          </c:xVal>
          <c:yVal>
            <c:numRef>
              <c:f>Sensibilidad!$G$6:$G$14</c:f>
              <c:numCache>
                <c:formatCode>#,##0.00</c:formatCode>
                <c:ptCount val="9"/>
                <c:pt idx="0">
                  <c:v>-10.2920935958028</c:v>
                </c:pt>
                <c:pt idx="1">
                  <c:v>-10.0241136182347</c:v>
                </c:pt>
                <c:pt idx="2">
                  <c:v>-9.93477877584328</c:v>
                </c:pt>
                <c:pt idx="3">
                  <c:v>-9.89010989010988</c:v>
                </c:pt>
                <c:pt idx="4">
                  <c:v>-9.8454400487079</c:v>
                </c:pt>
                <c:pt idx="5">
                  <c:v>-9.82310477448083</c:v>
                </c:pt>
                <c:pt idx="6">
                  <c:v>-9.80076926715637</c:v>
                </c:pt>
                <c:pt idx="7">
                  <c:v>-9.78290069477038</c:v>
                </c:pt>
                <c:pt idx="8">
                  <c:v>-9.7694991689924</c:v>
                </c:pt>
              </c:numCache>
            </c:numRef>
          </c:yVal>
          <c:smooth val="1"/>
        </c:ser>
        <c:axId val="34763112"/>
        <c:axId val="26243511"/>
      </c:scatterChart>
      <c:valAx>
        <c:axId val="34763112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σ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6243511"/>
        <c:crosses val="autoZero"/>
        <c:crossBetween val="midCat"/>
      </c:valAx>
      <c:valAx>
        <c:axId val="2624351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valor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4763112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Consumo y ahorro frente a la tasa real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Marker"/>
        <c:varyColors val="0"/>
        <c:ser>
          <c:idx val="0"/>
          <c:order val="0"/>
          <c:tx>
            <c:strRef>
              <c:f>Sensibilidad!E18</c:f>
              <c:strCache>
                <c:ptCount val="1"/>
                <c:pt idx="0">
                  <c:v>c₁*</c:v>
                </c:pt>
              </c:strCache>
            </c:strRef>
          </c:tx>
          <c:spPr>
            <a:solidFill>
              <a:srgbClr val="87a44b"/>
            </a:solidFill>
            <a:ln w="47520">
              <a:solidFill>
                <a:srgbClr val="87a44b"/>
              </a:solidFill>
              <a:round/>
            </a:ln>
          </c:spPr>
          <c:marker>
            <c:symbol val="circle"/>
            <c:size val="5"/>
            <c:spPr>
              <a:solidFill>
                <a:srgbClr val="87a44b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Sensibilidad!$B$19:$B$27</c:f>
              <c:numCache>
                <c:formatCode>0.00%</c:formatCode>
                <c:ptCount val="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0.05</c:v>
                </c:pt>
                <c:pt idx="4">
                  <c:v>0.0526</c:v>
                </c:pt>
                <c:pt idx="5">
                  <c:v>0.08</c:v>
                </c:pt>
                <c:pt idx="6">
                  <c:v>0.1</c:v>
                </c:pt>
                <c:pt idx="7">
                  <c:v>0.15</c:v>
                </c:pt>
                <c:pt idx="8">
                  <c:v>0.2</c:v>
                </c:pt>
              </c:numCache>
            </c:numRef>
          </c:xVal>
          <c:yVal>
            <c:numRef>
              <c:f>Sensibilidad!$E$19:$E$27</c:f>
              <c:numCache>
                <c:formatCode>#,##0.00</c:formatCode>
                <c:ptCount val="9"/>
                <c:pt idx="0">
                  <c:v>111.410488284056</c:v>
                </c:pt>
                <c:pt idx="1">
                  <c:v>110.757553035197</c:v>
                </c:pt>
                <c:pt idx="2">
                  <c:v>110.128807424978</c:v>
                </c:pt>
                <c:pt idx="3">
                  <c:v>109.823104774481</c:v>
                </c:pt>
                <c:pt idx="4">
                  <c:v>109.744541644973</c:v>
                </c:pt>
                <c:pt idx="5">
                  <c:v>108.938885607444</c:v>
                </c:pt>
                <c:pt idx="6">
                  <c:v>108.375421496969</c:v>
                </c:pt>
                <c:pt idx="7">
                  <c:v>107.050420502997</c:v>
                </c:pt>
                <c:pt idx="8">
                  <c:v>105.833739837495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Sensibilidad!G18</c:f>
              <c:strCache>
                <c:ptCount val="1"/>
                <c:pt idx="0">
                  <c:v>s₁*</c:v>
                </c:pt>
              </c:strCache>
            </c:strRef>
          </c:tx>
          <c:spPr>
            <a:solidFill>
              <a:srgbClr val="b3c992"/>
            </a:solidFill>
            <a:ln w="47520">
              <a:solidFill>
                <a:srgbClr val="b3c992"/>
              </a:solidFill>
              <a:round/>
            </a:ln>
          </c:spPr>
          <c:marker>
            <c:symbol val="circle"/>
            <c:size val="5"/>
            <c:spPr>
              <a:solidFill>
                <a:srgbClr val="b3c992"/>
              </a:solidFill>
            </c:spPr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Sensibilidad!$B$19:$B$27</c:f>
              <c:numCache>
                <c:formatCode>0.00%</c:formatCode>
                <c:ptCount val="9"/>
                <c:pt idx="0">
                  <c:v>0</c:v>
                </c:pt>
                <c:pt idx="1">
                  <c:v>0.02</c:v>
                </c:pt>
                <c:pt idx="2">
                  <c:v>0.04</c:v>
                </c:pt>
                <c:pt idx="3">
                  <c:v>0.05</c:v>
                </c:pt>
                <c:pt idx="4">
                  <c:v>0.0526</c:v>
                </c:pt>
                <c:pt idx="5">
                  <c:v>0.08</c:v>
                </c:pt>
                <c:pt idx="6">
                  <c:v>0.1</c:v>
                </c:pt>
                <c:pt idx="7">
                  <c:v>0.15</c:v>
                </c:pt>
                <c:pt idx="8">
                  <c:v>0.2</c:v>
                </c:pt>
              </c:numCache>
            </c:numRef>
          </c:xVal>
          <c:yVal>
            <c:numRef>
              <c:f>Sensibilidad!$G$19:$G$27</c:f>
              <c:numCache>
                <c:formatCode>#,##0.00</c:formatCode>
                <c:ptCount val="9"/>
                <c:pt idx="0">
                  <c:v>-11.4104882840559</c:v>
                </c:pt>
                <c:pt idx="1">
                  <c:v>-10.7575530351974</c:v>
                </c:pt>
                <c:pt idx="2">
                  <c:v>-10.128807424978</c:v>
                </c:pt>
                <c:pt idx="3">
                  <c:v>-9.82310477448083</c:v>
                </c:pt>
                <c:pt idx="4">
                  <c:v>-9.74454164497278</c:v>
                </c:pt>
                <c:pt idx="5">
                  <c:v>-8.93888560744352</c:v>
                </c:pt>
                <c:pt idx="6">
                  <c:v>-8.37542149696947</c:v>
                </c:pt>
                <c:pt idx="7">
                  <c:v>-7.05042050299674</c:v>
                </c:pt>
                <c:pt idx="8">
                  <c:v>-5.8337398374951</c:v>
                </c:pt>
              </c:numCache>
            </c:numRef>
          </c:yVal>
          <c:smooth val="1"/>
        </c:ser>
        <c:axId val="41067901"/>
        <c:axId val="45750480"/>
      </c:scatterChart>
      <c:valAx>
        <c:axId val="41067901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5750480"/>
        <c:crosses val="autoZero"/>
        <c:crossBetween val="midCat"/>
      </c:valAx>
      <c:valAx>
        <c:axId val="4575048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nivel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1067901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22</xdr:row>
      <xdr:rowOff>0</xdr:rowOff>
    </xdr:from>
    <xdr:to>
      <xdr:col>12</xdr:col>
      <xdr:colOff>322560</xdr:colOff>
      <xdr:row>44</xdr:row>
      <xdr:rowOff>128880</xdr:rowOff>
    </xdr:to>
    <xdr:graphicFrame>
      <xdr:nvGraphicFramePr>
        <xdr:cNvPr id="0" name="Chart 1"/>
        <xdr:cNvGraphicFramePr/>
      </xdr:nvGraphicFramePr>
      <xdr:xfrm>
        <a:off x="6343560" y="4791240"/>
        <a:ext cx="6479640" cy="43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4</xdr:row>
      <xdr:rowOff>0</xdr:rowOff>
    </xdr:from>
    <xdr:to>
      <xdr:col>16</xdr:col>
      <xdr:colOff>24120</xdr:colOff>
      <xdr:row>17</xdr:row>
      <xdr:rowOff>98280</xdr:rowOff>
    </xdr:to>
    <xdr:graphicFrame>
      <xdr:nvGraphicFramePr>
        <xdr:cNvPr id="1" name="Chart 1"/>
        <xdr:cNvGraphicFramePr/>
      </xdr:nvGraphicFramePr>
      <xdr:xfrm>
        <a:off x="10290960" y="1057320"/>
        <a:ext cx="467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17</xdr:row>
      <xdr:rowOff>0</xdr:rowOff>
    </xdr:from>
    <xdr:to>
      <xdr:col>16</xdr:col>
      <xdr:colOff>24120</xdr:colOff>
      <xdr:row>31</xdr:row>
      <xdr:rowOff>212760</xdr:rowOff>
    </xdr:to>
    <xdr:graphicFrame>
      <xdr:nvGraphicFramePr>
        <xdr:cNvPr id="2" name="Chart 2"/>
        <xdr:cNvGraphicFramePr/>
      </xdr:nvGraphicFramePr>
      <xdr:xfrm>
        <a:off x="10290960" y="3838680"/>
        <a:ext cx="467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slide18_ejercicio_guiado.xlsx" TargetMode="External"/><Relationship Id="rId2" Type="http://schemas.openxmlformats.org/officeDocument/2006/relationships/hyperlink" Target="slide18_ejercicio_guiado.xlsx" TargetMode="External"/><Relationship Id="rId3" Type="http://schemas.openxmlformats.org/officeDocument/2006/relationships/hyperlink" Target="slide18_ejercicio_guiado.xlsx" TargetMode="External"/><Relationship Id="rId4" Type="http://schemas.openxmlformats.org/officeDocument/2006/relationships/hyperlink" Target="slide18_ejercicio_guiado.xlsx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D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2"/>
    <col collapsed="false" customWidth="true" hidden="false" outlineLevel="0" max="3" min="3" style="0" width="40"/>
    <col collapsed="false" customWidth="true" hidden="false" outlineLevel="0" max="4" min="4" style="0" width="56"/>
  </cols>
  <sheetData>
    <row r="1" customFormat="false" ht="27.75" hidden="false" customHeight="true" outlineLevel="0" collapsed="false">
      <c r="B1" s="1" t="s">
        <v>0</v>
      </c>
      <c r="C1" s="1"/>
      <c r="D1" s="1"/>
    </row>
    <row r="3" customFormat="false" ht="15" hidden="false" customHeight="true" outlineLevel="0" collapsed="false">
      <c r="B3" s="2" t="s">
        <v>1</v>
      </c>
      <c r="C3" s="2"/>
      <c r="D3" s="2"/>
    </row>
    <row r="4" customFormat="false" ht="15" hidden="false" customHeight="false" outlineLevel="0" collapsed="false">
      <c r="B4" s="2"/>
      <c r="C4" s="2"/>
      <c r="D4" s="2"/>
    </row>
    <row r="6" customFormat="false" ht="15" hidden="false" customHeight="false" outlineLevel="0" collapsed="false">
      <c r="B6" s="3" t="s">
        <v>2</v>
      </c>
      <c r="C6" s="3" t="s">
        <v>3</v>
      </c>
      <c r="D6" s="3" t="s">
        <v>4</v>
      </c>
    </row>
    <row r="7" customFormat="false" ht="15" hidden="false" customHeight="false" outlineLevel="0" collapsed="false">
      <c r="B7" s="4" t="s">
        <v>5</v>
      </c>
      <c r="C7" s="5" t="s">
        <v>6</v>
      </c>
      <c r="D7" s="6" t="s">
        <v>7</v>
      </c>
    </row>
    <row r="8" customFormat="false" ht="15" hidden="false" customHeight="false" outlineLevel="0" collapsed="false">
      <c r="B8" s="4" t="s">
        <v>8</v>
      </c>
      <c r="C8" s="5" t="s">
        <v>9</v>
      </c>
      <c r="D8" s="6" t="s">
        <v>10</v>
      </c>
    </row>
    <row r="9" customFormat="false" ht="15" hidden="false" customHeight="false" outlineLevel="0" collapsed="false">
      <c r="B9" s="4" t="s">
        <v>11</v>
      </c>
      <c r="C9" s="5" t="s">
        <v>12</v>
      </c>
      <c r="D9" s="6" t="s">
        <v>13</v>
      </c>
    </row>
    <row r="10" customFormat="false" ht="15" hidden="false" customHeight="false" outlineLevel="0" collapsed="false">
      <c r="B10" s="4" t="s">
        <v>14</v>
      </c>
      <c r="C10" s="5" t="s">
        <v>15</v>
      </c>
      <c r="D10" s="6" t="s">
        <v>16</v>
      </c>
    </row>
    <row r="12" customFormat="false" ht="15" hidden="false" customHeight="false" outlineLevel="0" collapsed="false">
      <c r="B12" s="7" t="s">
        <v>17</v>
      </c>
    </row>
    <row r="13" customFormat="false" ht="15" hidden="false" customHeight="false" outlineLevel="0" collapsed="false">
      <c r="B13" s="8" t="s">
        <v>18</v>
      </c>
      <c r="C13" s="7" t="s">
        <v>19</v>
      </c>
    </row>
    <row r="14" customFormat="false" ht="15" hidden="false" customHeight="false" outlineLevel="0" collapsed="false">
      <c r="B14" s="8" t="s">
        <v>20</v>
      </c>
      <c r="C14" s="7" t="s">
        <v>21</v>
      </c>
    </row>
    <row r="15" customFormat="false" ht="15" hidden="false" customHeight="false" outlineLevel="0" collapsed="false">
      <c r="B15" s="8" t="s">
        <v>22</v>
      </c>
      <c r="C15" s="7" t="s">
        <v>23</v>
      </c>
    </row>
    <row r="16" customFormat="false" ht="15" hidden="false" customHeight="false" outlineLevel="0" collapsed="false">
      <c r="B16" s="8" t="s">
        <v>24</v>
      </c>
      <c r="C16" s="7" t="s">
        <v>25</v>
      </c>
    </row>
    <row r="17" customFormat="false" ht="15" hidden="false" customHeight="false" outlineLevel="0" collapsed="false">
      <c r="B17" s="8" t="s">
        <v>26</v>
      </c>
      <c r="C17" s="7" t="s">
        <v>27</v>
      </c>
    </row>
    <row r="18" customFormat="false" ht="15" hidden="false" customHeight="false" outlineLevel="0" collapsed="false">
      <c r="B18" s="8" t="s">
        <v>28</v>
      </c>
      <c r="C18" s="7" t="s">
        <v>29</v>
      </c>
    </row>
    <row r="20" customFormat="false" ht="15" hidden="false" customHeight="false" outlineLevel="0" collapsed="false">
      <c r="B20" s="9" t="s">
        <v>30</v>
      </c>
      <c r="C20" s="9"/>
      <c r="D20" s="9"/>
    </row>
  </sheetData>
  <mergeCells count="3">
    <mergeCell ref="B1:D1"/>
    <mergeCell ref="B3:D4"/>
    <mergeCell ref="B20:D20"/>
  </mergeCells>
  <hyperlinks>
    <hyperlink ref="B7" r:id="rId1" location="Ejercicio!A1" display="Ejercicio"/>
    <hyperlink ref="B8" r:id="rId2" location="Gráfico!A1" display="Gráfico"/>
    <hyperlink ref="B9" r:id="rId3" location="Sensibilidad!A1" display="Sensibilidad"/>
    <hyperlink ref="B10" r:id="rId4" location="Casos%20límite!A1" display="Casos límite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J4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4"/>
    <col collapsed="false" customWidth="true" hidden="false" outlineLevel="0" max="3" min="3" style="0" width="26"/>
    <col collapsed="false" customWidth="true" hidden="false" outlineLevel="0" max="8" min="4" style="0" width="13"/>
    <col collapsed="false" customWidth="true" hidden="false" outlineLevel="0" max="9" min="9" style="0" width="16"/>
    <col collapsed="false" customWidth="true" hidden="false" outlineLevel="0" max="10" min="10" style="0" width="30"/>
  </cols>
  <sheetData>
    <row r="1" customFormat="false" ht="25.5" hidden="false" customHeight="true" outlineLevel="0" collapsed="false">
      <c r="B1" s="1" t="s">
        <v>31</v>
      </c>
      <c r="C1" s="1"/>
      <c r="D1" s="1"/>
      <c r="E1" s="1"/>
      <c r="F1" s="1"/>
      <c r="G1" s="1"/>
      <c r="H1" s="1"/>
      <c r="I1" s="1"/>
      <c r="J1" s="1"/>
    </row>
    <row r="2" customFormat="false" ht="27.75" hidden="false" customHeight="true" outlineLevel="0" collapsed="false">
      <c r="B2" s="2" t="s">
        <v>32</v>
      </c>
      <c r="C2" s="2"/>
      <c r="D2" s="2"/>
      <c r="E2" s="2"/>
      <c r="F2" s="2"/>
      <c r="G2" s="2"/>
      <c r="H2" s="2"/>
      <c r="I2" s="2"/>
      <c r="J2" s="2"/>
    </row>
    <row r="4" customFormat="false" ht="15" hidden="false" customHeight="false" outlineLevel="0" collapsed="false">
      <c r="B4" s="10" t="s">
        <v>33</v>
      </c>
      <c r="C4" s="10"/>
      <c r="D4" s="10"/>
      <c r="E4" s="10"/>
      <c r="F4" s="10"/>
      <c r="G4" s="10"/>
      <c r="H4" s="10"/>
      <c r="I4" s="10"/>
      <c r="J4" s="10"/>
    </row>
    <row r="5" customFormat="false" ht="15" hidden="false" customHeight="false" outlineLevel="0" collapsed="false">
      <c r="C5" s="8" t="s">
        <v>34</v>
      </c>
      <c r="D5" s="11" t="n">
        <v>100</v>
      </c>
      <c r="F5" s="8" t="s">
        <v>35</v>
      </c>
      <c r="G5" s="11" t="n">
        <v>0.95</v>
      </c>
    </row>
    <row r="6" customFormat="false" ht="15" hidden="false" customHeight="false" outlineLevel="0" collapsed="false">
      <c r="C6" s="8" t="s">
        <v>36</v>
      </c>
      <c r="D6" s="11" t="n">
        <v>120</v>
      </c>
      <c r="F6" s="8" t="s">
        <v>37</v>
      </c>
      <c r="G6" s="11" t="n">
        <v>2</v>
      </c>
    </row>
    <row r="7" customFormat="false" ht="15" hidden="false" customHeight="false" outlineLevel="0" collapsed="false">
      <c r="C7" s="8" t="s">
        <v>38</v>
      </c>
      <c r="D7" s="12" t="n">
        <v>0.05</v>
      </c>
      <c r="F7" s="8" t="s">
        <v>39</v>
      </c>
      <c r="G7" s="13" t="n">
        <f aca="false">1/$G$6</f>
        <v>0.5</v>
      </c>
    </row>
    <row r="9" customFormat="false" ht="15" hidden="false" customHeight="false" outlineLevel="0" collapsed="false">
      <c r="B9" s="10" t="s">
        <v>40</v>
      </c>
      <c r="C9" s="10"/>
      <c r="D9" s="10"/>
      <c r="E9" s="10"/>
      <c r="F9" s="10"/>
      <c r="G9" s="10"/>
      <c r="H9" s="10"/>
      <c r="I9" s="10"/>
      <c r="J9" s="10"/>
    </row>
    <row r="10" customFormat="false" ht="15" hidden="false" customHeight="false" outlineLevel="0" collapsed="false">
      <c r="I10" s="14" t="s">
        <v>41</v>
      </c>
    </row>
    <row r="11" customFormat="false" ht="19.5" hidden="false" customHeight="true" outlineLevel="0" collapsed="false">
      <c r="B11" s="15" t="n">
        <v>1</v>
      </c>
      <c r="C11" s="16" t="s">
        <v>42</v>
      </c>
      <c r="D11" s="16"/>
      <c r="E11" s="16"/>
      <c r="F11" s="17" t="s">
        <v>43</v>
      </c>
      <c r="G11" s="17"/>
      <c r="H11" s="17"/>
      <c r="I11" s="18" t="n">
        <f aca="false">$D$5+$D$6/(1+$D$7)</f>
        <v>214.285714285714</v>
      </c>
    </row>
    <row r="12" customFormat="false" ht="25.5" hidden="false" customHeight="true" outlineLevel="0" collapsed="false">
      <c r="C12" s="19" t="s">
        <v>44</v>
      </c>
      <c r="D12" s="19"/>
      <c r="E12" s="19"/>
      <c r="F12" s="19"/>
      <c r="G12" s="19"/>
      <c r="H12" s="19"/>
      <c r="I12" s="19"/>
    </row>
    <row r="13" customFormat="false" ht="19.5" hidden="false" customHeight="true" outlineLevel="0" collapsed="false">
      <c r="B13" s="15" t="n">
        <v>2</v>
      </c>
      <c r="C13" s="16" t="s">
        <v>45</v>
      </c>
      <c r="D13" s="16"/>
      <c r="E13" s="16"/>
      <c r="F13" s="17" t="s">
        <v>46</v>
      </c>
      <c r="G13" s="17"/>
      <c r="H13" s="17"/>
      <c r="I13" s="20" t="n">
        <f aca="false">($G$5*(1+$D$7))^(1/$G$6)</f>
        <v>0.998749217771909</v>
      </c>
    </row>
    <row r="14" customFormat="false" ht="25.5" hidden="false" customHeight="true" outlineLevel="0" collapsed="false">
      <c r="C14" s="19" t="s">
        <v>47</v>
      </c>
      <c r="D14" s="19"/>
      <c r="E14" s="19"/>
      <c r="F14" s="19"/>
      <c r="G14" s="19"/>
      <c r="H14" s="19"/>
      <c r="I14" s="19"/>
    </row>
    <row r="15" customFormat="false" ht="19.5" hidden="false" customHeight="true" outlineLevel="0" collapsed="false">
      <c r="B15" s="15" t="n">
        <v>3</v>
      </c>
      <c r="C15" s="16" t="s">
        <v>48</v>
      </c>
      <c r="D15" s="16"/>
      <c r="E15" s="16"/>
      <c r="F15" s="17" t="s">
        <v>49</v>
      </c>
      <c r="G15" s="17"/>
      <c r="H15" s="17"/>
      <c r="I15" s="20" t="n">
        <f aca="false">1+$I$13/(1+$D$7)</f>
        <v>1.95118973121134</v>
      </c>
    </row>
    <row r="16" customFormat="false" ht="12.75" hidden="false" customHeight="true" outlineLevel="0" collapsed="false">
      <c r="C16" s="19" t="s">
        <v>50</v>
      </c>
      <c r="D16" s="19"/>
      <c r="E16" s="19"/>
      <c r="F16" s="19"/>
      <c r="G16" s="19"/>
      <c r="H16" s="19"/>
      <c r="I16" s="19"/>
    </row>
    <row r="17" customFormat="false" ht="19.5" hidden="false" customHeight="true" outlineLevel="0" collapsed="false">
      <c r="B17" s="21" t="n">
        <v>4</v>
      </c>
      <c r="C17" s="16" t="s">
        <v>51</v>
      </c>
      <c r="D17" s="16"/>
      <c r="E17" s="16"/>
      <c r="F17" s="17" t="s">
        <v>52</v>
      </c>
      <c r="G17" s="17"/>
      <c r="H17" s="17"/>
      <c r="I17" s="18" t="n">
        <f aca="false">$I$11/$I$15</f>
        <v>109.823104774481</v>
      </c>
    </row>
    <row r="18" customFormat="false" ht="12.75" hidden="false" customHeight="true" outlineLevel="0" collapsed="false">
      <c r="C18" s="19" t="s">
        <v>53</v>
      </c>
      <c r="D18" s="19"/>
      <c r="E18" s="19"/>
      <c r="F18" s="19"/>
      <c r="G18" s="19"/>
      <c r="H18" s="19"/>
      <c r="I18" s="19"/>
    </row>
    <row r="19" customFormat="false" ht="19.5" hidden="false" customHeight="true" outlineLevel="0" collapsed="false">
      <c r="B19" s="21" t="n">
        <v>4</v>
      </c>
      <c r="C19" s="16" t="s">
        <v>54</v>
      </c>
      <c r="D19" s="16"/>
      <c r="E19" s="16"/>
      <c r="F19" s="17" t="s">
        <v>55</v>
      </c>
      <c r="G19" s="17"/>
      <c r="H19" s="17"/>
      <c r="I19" s="18" t="n">
        <f aca="false">$I$13*$I$17</f>
        <v>109.685739986795</v>
      </c>
    </row>
    <row r="20" customFormat="false" ht="12.75" hidden="false" customHeight="true" outlineLevel="0" collapsed="false">
      <c r="C20" s="19" t="s">
        <v>56</v>
      </c>
      <c r="D20" s="19"/>
      <c r="E20" s="19"/>
      <c r="F20" s="19"/>
      <c r="G20" s="19"/>
      <c r="H20" s="19"/>
      <c r="I20" s="19"/>
    </row>
    <row r="21" customFormat="false" ht="19.5" hidden="false" customHeight="true" outlineLevel="0" collapsed="false">
      <c r="B21" s="15" t="n">
        <v>5</v>
      </c>
      <c r="C21" s="16" t="s">
        <v>57</v>
      </c>
      <c r="D21" s="16"/>
      <c r="E21" s="16"/>
      <c r="F21" s="17" t="s">
        <v>58</v>
      </c>
      <c r="G21" s="17"/>
      <c r="H21" s="17"/>
      <c r="I21" s="18" t="n">
        <f aca="false">$D$5-$I$17</f>
        <v>-9.82310477448083</v>
      </c>
    </row>
    <row r="22" customFormat="false" ht="25.5" hidden="false" customHeight="true" outlineLevel="0" collapsed="false">
      <c r="C22" s="19" t="s">
        <v>59</v>
      </c>
      <c r="D22" s="19"/>
      <c r="E22" s="19"/>
      <c r="F22" s="19"/>
      <c r="G22" s="19"/>
      <c r="H22" s="19"/>
      <c r="I22" s="19"/>
    </row>
    <row r="23" customFormat="false" ht="19.5" hidden="false" customHeight="true" outlineLevel="0" collapsed="false">
      <c r="B23" s="15" t="n">
        <v>6</v>
      </c>
      <c r="C23" s="16" t="s">
        <v>60</v>
      </c>
      <c r="D23" s="16"/>
      <c r="E23" s="16"/>
      <c r="F23" s="17" t="s">
        <v>61</v>
      </c>
      <c r="G23" s="17"/>
      <c r="H23" s="17"/>
      <c r="I23" s="18" t="n">
        <f aca="false">$D$6+(1+$D$7)*$I$21</f>
        <v>109.685739986795</v>
      </c>
    </row>
    <row r="24" customFormat="false" ht="25.5" hidden="false" customHeight="true" outlineLevel="0" collapsed="false">
      <c r="C24" s="19" t="s">
        <v>62</v>
      </c>
      <c r="D24" s="19"/>
      <c r="E24" s="19"/>
      <c r="F24" s="19"/>
      <c r="G24" s="19"/>
      <c r="H24" s="19"/>
      <c r="I24" s="19"/>
    </row>
    <row r="26" customFormat="false" ht="15" hidden="false" customHeight="false" outlineLevel="0" collapsed="false">
      <c r="B26" s="10" t="s">
        <v>63</v>
      </c>
      <c r="C26" s="10"/>
      <c r="D26" s="10"/>
      <c r="E26" s="10"/>
      <c r="F26" s="10"/>
      <c r="G26" s="10"/>
      <c r="H26" s="10"/>
      <c r="I26" s="10"/>
      <c r="J26" s="10"/>
    </row>
    <row r="27" customFormat="false" ht="15" hidden="false" customHeight="false" outlineLevel="0" collapsed="false">
      <c r="C27" s="8" t="s">
        <v>64</v>
      </c>
      <c r="I27" s="22" t="n">
        <f aca="false">$I$17+$I$19/(1+$D$7)-$I$11</f>
        <v>0</v>
      </c>
      <c r="J27" s="23" t="s">
        <v>65</v>
      </c>
    </row>
    <row r="28" customFormat="false" ht="15" hidden="false" customHeight="false" outlineLevel="0" collapsed="false">
      <c r="C28" s="8" t="s">
        <v>66</v>
      </c>
      <c r="I28" s="22" t="n">
        <f aca="false">$I$23-$I$19</f>
        <v>0</v>
      </c>
      <c r="J28" s="23" t="s">
        <v>65</v>
      </c>
    </row>
    <row r="29" customFormat="false" ht="15" hidden="false" customHeight="false" outlineLevel="0" collapsed="false">
      <c r="C29" s="8" t="s">
        <v>67</v>
      </c>
      <c r="I29" s="22" t="n">
        <f aca="false">$I$17^(-$G$6)-$G$5*(1+$D$7)*$I$19^(-$G$6)</f>
        <v>0</v>
      </c>
      <c r="J29" s="23" t="s">
        <v>65</v>
      </c>
    </row>
    <row r="30" customFormat="false" ht="15" hidden="false" customHeight="false" outlineLevel="0" collapsed="false">
      <c r="C30" s="8" t="s">
        <v>68</v>
      </c>
      <c r="I30" s="24" t="n">
        <f aca="false">$I$17/$I$11</f>
        <v>0.512507822280911</v>
      </c>
      <c r="J30" s="23" t="s">
        <v>69</v>
      </c>
    </row>
    <row r="31" customFormat="false" ht="15" hidden="false" customHeight="false" outlineLevel="0" collapsed="false">
      <c r="C31" s="8" t="s">
        <v>70</v>
      </c>
      <c r="I31" s="24" t="n">
        <f aca="false">(2*$D$5+2*$D$6/(1+$D$7))/$I$15/$I$17</f>
        <v>2</v>
      </c>
      <c r="J31" s="23" t="s">
        <v>71</v>
      </c>
    </row>
    <row r="33" customFormat="false" ht="15" hidden="false" customHeight="false" outlineLevel="0" collapsed="false">
      <c r="B33" s="10" t="s">
        <v>72</v>
      </c>
      <c r="C33" s="10"/>
      <c r="D33" s="10"/>
      <c r="E33" s="10"/>
      <c r="F33" s="10"/>
      <c r="G33" s="10"/>
      <c r="H33" s="10"/>
      <c r="I33" s="10"/>
      <c r="J33" s="10"/>
    </row>
    <row r="34" customFormat="false" ht="15" hidden="false" customHeight="false" outlineLevel="0" collapsed="false">
      <c r="C34" s="8" t="s">
        <v>73</v>
      </c>
      <c r="I34" s="25" t="n">
        <f aca="false">1/$G$5-1</f>
        <v>0.0526315789473684</v>
      </c>
    </row>
    <row r="35" customFormat="false" ht="15" hidden="false" customHeight="false" outlineLevel="0" collapsed="false">
      <c r="C35" s="8" t="s">
        <v>74</v>
      </c>
      <c r="I35" s="24" t="n">
        <f aca="false">$G$5*(1+$D$7)</f>
        <v>0.9975</v>
      </c>
    </row>
    <row r="36" customFormat="false" ht="15" hidden="false" customHeight="false" outlineLevel="0" collapsed="false">
      <c r="C36" s="8" t="s">
        <v>75</v>
      </c>
      <c r="I36" s="26" t="str">
        <f aca="false">IF($I$35&gt;1,"Creciente: r supera a ρ, el hogar pospone consumo",IF($I$35&lt;1,"Decreciente: ρ supera a r, el hogar es impaciente","Perfectamente plano: r = ρ"))</f>
        <v>Decreciente: ρ supera a r, el hogar es impaciente</v>
      </c>
      <c r="J36" s="26"/>
    </row>
    <row r="37" customFormat="false" ht="15" hidden="false" customHeight="false" outlineLevel="0" collapsed="false">
      <c r="C37" s="8" t="s">
        <v>76</v>
      </c>
      <c r="I37" s="26" t="str">
        <f aca="false">IF($I$21&lt;0,"DEUDOR neto: consume por sobre su ingreso corriente",IF($I$21&gt;0,"ACREEDOR neto","Autarquía: consume su dotación"))</f>
        <v>DEUDOR neto: consume por sobre su ingreso corriente</v>
      </c>
      <c r="J37" s="26"/>
    </row>
    <row r="39" customFormat="false" ht="39" hidden="false" customHeight="true" outlineLevel="0" collapsed="false">
      <c r="B39" s="19" t="s">
        <v>77</v>
      </c>
      <c r="C39" s="19"/>
      <c r="D39" s="19"/>
      <c r="E39" s="19"/>
      <c r="F39" s="19"/>
      <c r="G39" s="19"/>
      <c r="H39" s="19"/>
      <c r="I39" s="19"/>
      <c r="J39" s="19"/>
    </row>
    <row r="40" customFormat="false" ht="25.5" hidden="false" customHeight="true" outlineLevel="0" collapsed="false">
      <c r="B40" s="19" t="s">
        <v>78</v>
      </c>
      <c r="C40" s="19"/>
      <c r="D40" s="19"/>
      <c r="E40" s="19"/>
      <c r="F40" s="19"/>
      <c r="G40" s="19"/>
      <c r="H40" s="19"/>
      <c r="I40" s="19"/>
      <c r="J40" s="19"/>
    </row>
  </sheetData>
  <mergeCells count="31">
    <mergeCell ref="B1:J1"/>
    <mergeCell ref="B2:J2"/>
    <mergeCell ref="B4:J4"/>
    <mergeCell ref="B9:J9"/>
    <mergeCell ref="C11:E11"/>
    <mergeCell ref="F11:H11"/>
    <mergeCell ref="C12:I12"/>
    <mergeCell ref="C13:E13"/>
    <mergeCell ref="F13:H13"/>
    <mergeCell ref="C14:I14"/>
    <mergeCell ref="C15:E15"/>
    <mergeCell ref="F15:H15"/>
    <mergeCell ref="C16:I16"/>
    <mergeCell ref="C17:E17"/>
    <mergeCell ref="F17:H17"/>
    <mergeCell ref="C18:I18"/>
    <mergeCell ref="C19:E19"/>
    <mergeCell ref="F19:H19"/>
    <mergeCell ref="C20:I20"/>
    <mergeCell ref="C21:E21"/>
    <mergeCell ref="F21:H21"/>
    <mergeCell ref="C22:I22"/>
    <mergeCell ref="C23:E23"/>
    <mergeCell ref="F23:H23"/>
    <mergeCell ref="C24:I24"/>
    <mergeCell ref="B26:J26"/>
    <mergeCell ref="B33:J33"/>
    <mergeCell ref="I36:J36"/>
    <mergeCell ref="I37:J37"/>
    <mergeCell ref="B39:J39"/>
    <mergeCell ref="B40:J4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J8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4"/>
    <col collapsed="false" customWidth="true" hidden="false" outlineLevel="0" max="10" min="3" style="0" width="14"/>
  </cols>
  <sheetData>
    <row r="1" customFormat="false" ht="25.5" hidden="false" customHeight="true" outlineLevel="0" collapsed="false">
      <c r="B1" s="1" t="s">
        <v>79</v>
      </c>
      <c r="C1" s="1"/>
      <c r="D1" s="1"/>
      <c r="E1" s="1"/>
      <c r="F1" s="1"/>
      <c r="G1" s="1"/>
      <c r="H1" s="1"/>
      <c r="I1" s="1"/>
      <c r="J1" s="1"/>
    </row>
    <row r="2" customFormat="false" ht="27.75" hidden="false" customHeight="true" outlineLevel="0" collapsed="false">
      <c r="B2" s="2" t="s">
        <v>80</v>
      </c>
      <c r="C2" s="2"/>
      <c r="D2" s="2"/>
      <c r="E2" s="2"/>
      <c r="F2" s="2"/>
      <c r="G2" s="2"/>
      <c r="H2" s="2"/>
      <c r="I2" s="2"/>
      <c r="J2" s="2"/>
    </row>
    <row r="4" customFormat="false" ht="15" hidden="false" customHeight="false" outlineLevel="0" collapsed="false">
      <c r="B4" s="10" t="s">
        <v>81</v>
      </c>
      <c r="C4" s="10"/>
      <c r="D4" s="10"/>
      <c r="E4" s="10"/>
      <c r="F4" s="10"/>
      <c r="G4" s="10"/>
      <c r="H4" s="10"/>
      <c r="I4" s="10"/>
      <c r="J4" s="10"/>
    </row>
    <row r="5" customFormat="false" ht="15" hidden="false" customHeight="false" outlineLevel="0" collapsed="false">
      <c r="B5" s="8" t="s">
        <v>82</v>
      </c>
      <c r="C5" s="13" t="n">
        <f aca="false">Ejercicio!I11</f>
        <v>214.285714285714</v>
      </c>
    </row>
    <row r="6" customFormat="false" ht="15" hidden="false" customHeight="false" outlineLevel="0" collapsed="false">
      <c r="B6" s="7" t="s">
        <v>83</v>
      </c>
      <c r="C6" s="27" t="n">
        <f aca="false">Ejercicio!I17</f>
        <v>109.823104774481</v>
      </c>
    </row>
    <row r="7" customFormat="false" ht="15" hidden="false" customHeight="false" outlineLevel="0" collapsed="false">
      <c r="B7" s="7" t="s">
        <v>84</v>
      </c>
      <c r="C7" s="27" t="n">
        <f aca="false">Ejercicio!I19</f>
        <v>109.685739986795</v>
      </c>
    </row>
    <row r="8" customFormat="false" ht="15" hidden="false" customHeight="false" outlineLevel="0" collapsed="false">
      <c r="B8" s="8" t="s">
        <v>85</v>
      </c>
      <c r="C8" s="13" t="n">
        <f aca="false">Ejercicio!D5</f>
        <v>100</v>
      </c>
    </row>
    <row r="9" customFormat="false" ht="15" hidden="false" customHeight="false" outlineLevel="0" collapsed="false">
      <c r="B9" s="8" t="s">
        <v>86</v>
      </c>
      <c r="C9" s="13" t="n">
        <f aca="false">Ejercicio!D6</f>
        <v>120</v>
      </c>
    </row>
    <row r="10" customFormat="false" ht="15" hidden="false" customHeight="false" outlineLevel="0" collapsed="false">
      <c r="B10" s="8" t="s">
        <v>87</v>
      </c>
      <c r="C10" s="28" t="n">
        <f aca="false">Ejercicio!D7</f>
        <v>0.05</v>
      </c>
    </row>
    <row r="11" customFormat="false" ht="15" hidden="false" customHeight="false" outlineLevel="0" collapsed="false">
      <c r="B11" s="8" t="s">
        <v>88</v>
      </c>
      <c r="C11" s="13" t="n">
        <f aca="false">Ejercicio!G5</f>
        <v>0.95</v>
      </c>
    </row>
    <row r="12" customFormat="false" ht="15" hidden="false" customHeight="false" outlineLevel="0" collapsed="false">
      <c r="B12" s="8" t="s">
        <v>89</v>
      </c>
      <c r="C12" s="13" t="n">
        <f aca="false">Ejercicio!G6</f>
        <v>2</v>
      </c>
    </row>
    <row r="13" customFormat="false" ht="15" hidden="false" customHeight="false" outlineLevel="0" collapsed="false">
      <c r="B13" s="8" t="s">
        <v>90</v>
      </c>
      <c r="C13" s="24" t="n">
        <f aca="false">Ejercicio!I13</f>
        <v>0.998749217771909</v>
      </c>
    </row>
    <row r="14" customFormat="false" ht="15" hidden="false" customHeight="false" outlineLevel="0" collapsed="false">
      <c r="B14" s="7" t="s">
        <v>91</v>
      </c>
      <c r="C14" s="29" t="n">
        <f aca="false">IF($C$12=1,LN($C$6)+$C$11*LN($C$7),$C$6^(1-$C$12)/(1-$C$12)+$C$11*$C$7^(1-$C$12)/(1-$C$12))</f>
        <v>-0.0177666597135281</v>
      </c>
      <c r="D14" s="23" t="s">
        <v>92</v>
      </c>
    </row>
    <row r="16" customFormat="false" ht="39" hidden="false" customHeight="true" outlineLevel="0" collapsed="false">
      <c r="B16" s="19" t="s">
        <v>93</v>
      </c>
      <c r="C16" s="19"/>
      <c r="D16" s="19"/>
      <c r="E16" s="19"/>
      <c r="F16" s="19"/>
      <c r="G16" s="19"/>
      <c r="H16" s="19"/>
      <c r="I16" s="19"/>
      <c r="J16" s="19"/>
    </row>
    <row r="18" customFormat="false" ht="15" hidden="false" customHeight="false" outlineLevel="0" collapsed="false">
      <c r="B18" s="7" t="s">
        <v>94</v>
      </c>
      <c r="E18" s="7" t="s">
        <v>95</v>
      </c>
      <c r="H18" s="7" t="s">
        <v>96</v>
      </c>
    </row>
    <row r="19" customFormat="false" ht="15" hidden="false" customHeight="false" outlineLevel="0" collapsed="false">
      <c r="B19" s="3" t="s">
        <v>97</v>
      </c>
      <c r="C19" s="3" t="s">
        <v>98</v>
      </c>
      <c r="E19" s="14" t="s">
        <v>97</v>
      </c>
      <c r="F19" s="14" t="s">
        <v>98</v>
      </c>
      <c r="H19" s="14" t="s">
        <v>99</v>
      </c>
      <c r="I19" s="14" t="s">
        <v>100</v>
      </c>
    </row>
    <row r="20" customFormat="false" ht="15" hidden="false" customHeight="false" outlineLevel="0" collapsed="false">
      <c r="B20" s="13" t="n">
        <v>0</v>
      </c>
      <c r="C20" s="13" t="n">
        <f aca="false">(1+$C$10)*$C$5</f>
        <v>225</v>
      </c>
      <c r="E20" s="13" t="n">
        <f aca="false">$C$8</f>
        <v>100</v>
      </c>
      <c r="F20" s="13" t="n">
        <f aca="false">$C$9</f>
        <v>120</v>
      </c>
      <c r="H20" s="13" t="n">
        <f aca="false">$C$6</f>
        <v>109.823104774481</v>
      </c>
      <c r="I20" s="13" t="n">
        <f aca="false">$C$7</f>
        <v>109.685739986795</v>
      </c>
    </row>
    <row r="21" customFormat="false" ht="15" hidden="false" customHeight="false" outlineLevel="0" collapsed="false">
      <c r="B21" s="13" t="n">
        <f aca="false">$C$5</f>
        <v>214.285714285714</v>
      </c>
      <c r="C21" s="13" t="n">
        <v>0</v>
      </c>
    </row>
    <row r="23" customFormat="false" ht="15" hidden="false" customHeight="false" outlineLevel="0" collapsed="false">
      <c r="B23" s="7" t="s">
        <v>101</v>
      </c>
    </row>
    <row r="24" customFormat="false" ht="15" hidden="false" customHeight="false" outlineLevel="0" collapsed="false">
      <c r="B24" s="3" t="s">
        <v>102</v>
      </c>
      <c r="C24" s="3" t="s">
        <v>103</v>
      </c>
      <c r="D24" s="3" t="s">
        <v>104</v>
      </c>
    </row>
    <row r="25" customFormat="false" ht="15" hidden="false" customHeight="false" outlineLevel="0" collapsed="false">
      <c r="B25" s="30" t="n">
        <v>0.35</v>
      </c>
      <c r="C25" s="13" t="n">
        <f aca="false">IF($C$12=1,EXP(($C$14-$C$11*LN(B25))/(1+$C$11)),($C$14*(1-$C$12)/(1+$C$11*B25^(1-$C$12)))^(1/(1-$C$12)))</f>
        <v>209.059315266648</v>
      </c>
      <c r="D25" s="13" t="n">
        <f aca="false">B25*C25</f>
        <v>73.1707603433267</v>
      </c>
    </row>
    <row r="26" customFormat="false" ht="15" hidden="false" customHeight="false" outlineLevel="0" collapsed="false">
      <c r="B26" s="30" t="n">
        <v>0.3875</v>
      </c>
      <c r="C26" s="13" t="n">
        <f aca="false">IF($C$12=1,EXP(($C$14-$C$11*LN(B26))/(1+$C$11)),($C$14*(1-$C$12)/(1+$C$11*B26^(1-$C$12)))^(1/(1-$C$12)))</f>
        <v>194.274723492207</v>
      </c>
      <c r="D26" s="13" t="n">
        <f aca="false">B26*C26</f>
        <v>75.2814553532303</v>
      </c>
    </row>
    <row r="27" customFormat="false" ht="15" hidden="false" customHeight="false" outlineLevel="0" collapsed="false">
      <c r="B27" s="30" t="n">
        <v>0.425</v>
      </c>
      <c r="C27" s="13" t="n">
        <f aca="false">IF($C$12=1,EXP(($C$14-$C$11*LN(B27))/(1+$C$11)),($C$14*(1-$C$12)/(1+$C$11*B27^(1-$C$12)))^(1/(1-$C$12)))</f>
        <v>182.099177325021</v>
      </c>
      <c r="D27" s="13" t="n">
        <f aca="false">B27*C27</f>
        <v>77.392150363134</v>
      </c>
    </row>
    <row r="28" customFormat="false" ht="15" hidden="false" customHeight="false" outlineLevel="0" collapsed="false">
      <c r="B28" s="30" t="n">
        <v>0.4625</v>
      </c>
      <c r="C28" s="13" t="n">
        <f aca="false">IF($C$12=1,EXP(($C$14-$C$11*LN(B28))/(1+$C$11)),($C$14*(1-$C$12)/(1+$C$11*B28^(1-$C$12)))^(1/(1-$C$12)))</f>
        <v>171.898044049811</v>
      </c>
      <c r="D28" s="13" t="n">
        <f aca="false">B28*C28</f>
        <v>79.5028453730376</v>
      </c>
    </row>
    <row r="29" customFormat="false" ht="15" hidden="false" customHeight="false" outlineLevel="0" collapsed="false">
      <c r="B29" s="30" t="n">
        <v>0.5</v>
      </c>
      <c r="C29" s="13" t="n">
        <f aca="false">IF($C$12=1,EXP(($C$14-$C$11*LN(B29))/(1+$C$11)),($C$14*(1-$C$12)/(1+$C$11*B29^(1-$C$12)))^(1/(1-$C$12)))</f>
        <v>163.227080765883</v>
      </c>
      <c r="D29" s="13" t="n">
        <f aca="false">B29*C29</f>
        <v>81.6135403829413</v>
      </c>
    </row>
    <row r="30" customFormat="false" ht="15" hidden="false" customHeight="false" outlineLevel="0" collapsed="false">
      <c r="B30" s="30" t="n">
        <v>0.5375</v>
      </c>
      <c r="C30" s="13" t="n">
        <f aca="false">IF($C$12=1,EXP(($C$14-$C$11*LN(B30))/(1+$C$11)),($C$14*(1-$C$12)/(1+$C$11*B30^(1-$C$12)))^(1/(1-$C$12)))</f>
        <v>155.766019335525</v>
      </c>
      <c r="D30" s="13" t="n">
        <f aca="false">B30*C30</f>
        <v>83.7242353928449</v>
      </c>
    </row>
    <row r="31" customFormat="false" ht="15" hidden="false" customHeight="false" outlineLevel="0" collapsed="false">
      <c r="B31" s="30" t="n">
        <v>0.575</v>
      </c>
      <c r="C31" s="13" t="n">
        <f aca="false">IF($C$12=1,EXP(($C$14-$C$11*LN(B31))/(1+$C$11)),($C$14*(1-$C$12)/(1+$C$11*B31^(1-$C$12)))^(1/(1-$C$12)))</f>
        <v>149.278139830867</v>
      </c>
      <c r="D31" s="13" t="n">
        <f aca="false">B31*C31</f>
        <v>85.8349304027486</v>
      </c>
    </row>
    <row r="32" customFormat="false" ht="15" hidden="false" customHeight="false" outlineLevel="0" collapsed="false">
      <c r="B32" s="30" t="n">
        <v>0.6125</v>
      </c>
      <c r="C32" s="13" t="n">
        <f aca="false">IF($C$12=1,EXP(($C$14-$C$11*LN(B32))/(1+$C$11)),($C$14*(1-$C$12)/(1+$C$11*B32^(1-$C$12)))^(1/(1-$C$12)))</f>
        <v>143.584694551269</v>
      </c>
      <c r="D32" s="13" t="n">
        <f aca="false">B32*C32</f>
        <v>87.9456254126523</v>
      </c>
    </row>
    <row r="33" customFormat="false" ht="15" hidden="false" customHeight="false" outlineLevel="0" collapsed="false">
      <c r="B33" s="30" t="n">
        <v>0.65</v>
      </c>
      <c r="C33" s="13" t="n">
        <f aca="false">IF($C$12=1,EXP(($C$14-$C$11*LN(B33))/(1+$C$11)),($C$14*(1-$C$12)/(1+$C$11*B33^(1-$C$12)))^(1/(1-$C$12)))</f>
        <v>138.548185265471</v>
      </c>
      <c r="D33" s="13" t="n">
        <f aca="false">B33*C33</f>
        <v>90.0563204225559</v>
      </c>
    </row>
    <row r="34" customFormat="false" ht="15" hidden="false" customHeight="false" outlineLevel="0" collapsed="false">
      <c r="B34" s="30" t="n">
        <v>0.6875</v>
      </c>
      <c r="C34" s="13" t="n">
        <f aca="false">IF($C$12=1,EXP(($C$14-$C$11*LN(B34))/(1+$C$11)),($C$14*(1-$C$12)/(1+$C$11*B34^(1-$C$12)))^(1/(1-$C$12)))</f>
        <v>134.061113356305</v>
      </c>
      <c r="D34" s="13" t="n">
        <f aca="false">B34*C34</f>
        <v>92.1670154324595</v>
      </c>
    </row>
    <row r="35" customFormat="false" ht="15" hidden="false" customHeight="false" outlineLevel="0" collapsed="false">
      <c r="B35" s="30" t="n">
        <v>0.725</v>
      </c>
      <c r="C35" s="13" t="n">
        <f aca="false">IF($C$12=1,EXP(($C$14-$C$11*LN(B35))/(1+$C$11)),($C$14*(1-$C$12)/(1+$C$11*B35^(1-$C$12)))^(1/(1-$C$12)))</f>
        <v>130.038221299811</v>
      </c>
      <c r="D35" s="13" t="n">
        <f aca="false">B35*C35</f>
        <v>94.2777104423632</v>
      </c>
    </row>
    <row r="36" customFormat="false" ht="15" hidden="false" customHeight="false" outlineLevel="0" collapsed="false">
      <c r="B36" s="30" t="n">
        <v>0.7625</v>
      </c>
      <c r="C36" s="13" t="n">
        <f aca="false">IF($C$12=1,EXP(($C$14-$C$11*LN(B36))/(1+$C$11)),($C$14*(1-$C$12)/(1+$C$11*B36^(1-$C$12)))^(1/(1-$C$12)))</f>
        <v>126.411023543957</v>
      </c>
      <c r="D36" s="13" t="n">
        <f aca="false">B36*C36</f>
        <v>96.3884054522669</v>
      </c>
    </row>
    <row r="37" customFormat="false" ht="15" hidden="false" customHeight="false" outlineLevel="0" collapsed="false">
      <c r="B37" s="30" t="n">
        <v>0.8</v>
      </c>
      <c r="C37" s="13" t="n">
        <f aca="false">IF($C$12=1,EXP(($C$14-$C$11*LN(B37))/(1+$C$11)),($C$14*(1-$C$12)/(1+$C$11*B37^(1-$C$12)))^(1/(1-$C$12)))</f>
        <v>123.123875577713</v>
      </c>
      <c r="D37" s="13" t="n">
        <f aca="false">B37*C37</f>
        <v>98.4991004621705</v>
      </c>
    </row>
    <row r="38" customFormat="false" ht="15" hidden="false" customHeight="false" outlineLevel="0" collapsed="false">
      <c r="B38" s="30" t="n">
        <v>0.8375</v>
      </c>
      <c r="C38" s="13" t="n">
        <f aca="false">IF($C$12=1,EXP(($C$14-$C$11*LN(B38))/(1+$C$11)),($C$14*(1-$C$12)/(1+$C$11*B38^(1-$C$12)))^(1/(1-$C$12)))</f>
        <v>120.131099071133</v>
      </c>
      <c r="D38" s="13" t="n">
        <f aca="false">B38*C38</f>
        <v>100.609795472074</v>
      </c>
    </row>
    <row r="39" customFormat="false" ht="15" hidden="false" customHeight="false" outlineLevel="0" collapsed="false">
      <c r="B39" s="30" t="n">
        <v>0.875</v>
      </c>
      <c r="C39" s="13" t="n">
        <f aca="false">IF($C$12=1,EXP(($C$14-$C$11*LN(B39))/(1+$C$11)),($C$14*(1-$C$12)/(1+$C$11*B39^(1-$C$12)))^(1/(1-$C$12)))</f>
        <v>117.394846265118</v>
      </c>
      <c r="D39" s="13" t="n">
        <f aca="false">B39*C39</f>
        <v>102.720490481978</v>
      </c>
    </row>
    <row r="40" customFormat="false" ht="15" hidden="false" customHeight="false" outlineLevel="0" collapsed="false">
      <c r="B40" s="30" t="n">
        <v>0.9125</v>
      </c>
      <c r="C40" s="13" t="n">
        <f aca="false">IF($C$12=1,EXP(($C$14-$C$11*LN(B40))/(1+$C$11)),($C$14*(1-$C$12)/(1+$C$11*B40^(1-$C$12)))^(1/(1-$C$12)))</f>
        <v>114.883490950007</v>
      </c>
      <c r="D40" s="13" t="n">
        <f aca="false">B40*C40</f>
        <v>104.831185491881</v>
      </c>
    </row>
    <row r="41" customFormat="false" ht="15" hidden="false" customHeight="false" outlineLevel="0" collapsed="false">
      <c r="B41" s="30" t="n">
        <v>0.95</v>
      </c>
      <c r="C41" s="13" t="n">
        <f aca="false">IF($C$12=1,EXP(($C$14-$C$11*LN(B41))/(1+$C$11)),($C$14*(1-$C$12)/(1+$C$11*B41^(1-$C$12)))^(1/(1-$C$12)))</f>
        <v>112.570400528195</v>
      </c>
      <c r="D41" s="13" t="n">
        <f aca="false">B41*C41</f>
        <v>106.941880501785</v>
      </c>
    </row>
    <row r="42" customFormat="false" ht="15" hidden="false" customHeight="false" outlineLevel="0" collapsed="false">
      <c r="B42" s="30" t="n">
        <v>0.9875</v>
      </c>
      <c r="C42" s="13" t="n">
        <f aca="false">IF($C$12=1,EXP(($C$14-$C$11*LN(B42))/(1+$C$11)),($C$14*(1-$C$12)/(1+$C$11*B42^(1-$C$12)))^(1/(1-$C$12)))</f>
        <v>110.432987859938</v>
      </c>
      <c r="D42" s="13" t="n">
        <f aca="false">B42*C42</f>
        <v>109.052575511689</v>
      </c>
    </row>
    <row r="43" customFormat="false" ht="15" hidden="false" customHeight="false" outlineLevel="0" collapsed="false">
      <c r="B43" s="30" t="n">
        <v>1.025</v>
      </c>
      <c r="C43" s="13" t="n">
        <f aca="false">IF($C$12=1,EXP(($C$14-$C$11*LN(B43))/(1+$C$11)),($C$14*(1-$C$12)/(1+$C$11*B43^(1-$C$12)))^(1/(1-$C$12)))</f>
        <v>108.451971240578</v>
      </c>
      <c r="D43" s="13" t="n">
        <f aca="false">B43*C43</f>
        <v>111.163270521592</v>
      </c>
    </row>
    <row r="44" customFormat="false" ht="15" hidden="false" customHeight="false" outlineLevel="0" collapsed="false">
      <c r="B44" s="30" t="n">
        <v>1.0625</v>
      </c>
      <c r="C44" s="13" t="n">
        <f aca="false">IF($C$12=1,EXP(($C$14-$C$11*LN(B44))/(1+$C$11)),($C$14*(1-$C$12)/(1+$C$11*B44^(1-$C$12)))^(1/(1-$C$12)))</f>
        <v>106.610791088467</v>
      </c>
      <c r="D44" s="13" t="n">
        <f aca="false">B44*C44</f>
        <v>113.273965531496</v>
      </c>
    </row>
    <row r="45" customFormat="false" ht="15" hidden="false" customHeight="false" outlineLevel="0" collapsed="false">
      <c r="B45" s="30" t="n">
        <v>1.1</v>
      </c>
      <c r="C45" s="13" t="n">
        <f aca="false">IF($C$12=1,EXP(($C$14-$C$11*LN(B45))/(1+$C$11)),($C$14*(1-$C$12)/(1+$C$11*B45^(1-$C$12)))^(1/(1-$C$12)))</f>
        <v>104.895145946727</v>
      </c>
      <c r="D45" s="13" t="n">
        <f aca="false">B45*C45</f>
        <v>115.3846605414</v>
      </c>
    </row>
    <row r="46" customFormat="false" ht="15" hidden="false" customHeight="false" outlineLevel="0" collapsed="false">
      <c r="B46" s="30" t="n">
        <v>1.1375</v>
      </c>
      <c r="C46" s="13" t="n">
        <f aca="false">IF($C$12=1,EXP(($C$14-$C$11*LN(B46))/(1+$C$11)),($C$14*(1-$C$12)/(1+$C$11*B46^(1-$C$12)))^(1/(1-$C$12)))</f>
        <v>103.292620264882</v>
      </c>
      <c r="D46" s="13" t="n">
        <f aca="false">B46*C46</f>
        <v>117.495355551303</v>
      </c>
    </row>
    <row r="47" customFormat="false" ht="15" hidden="false" customHeight="false" outlineLevel="0" collapsed="false">
      <c r="B47" s="30" t="n">
        <v>1.175</v>
      </c>
      <c r="C47" s="13" t="n">
        <f aca="false">IF($C$12=1,EXP(($C$14-$C$11*LN(B47))/(1+$C$11)),($C$14*(1-$C$12)/(1+$C$11*B47^(1-$C$12)))^(1/(1-$C$12)))</f>
        <v>101.792383456346</v>
      </c>
      <c r="D47" s="13" t="n">
        <f aca="false">B47*C47</f>
        <v>119.606050561207</v>
      </c>
    </row>
    <row r="48" customFormat="false" ht="15" hidden="false" customHeight="false" outlineLevel="0" collapsed="false">
      <c r="B48" s="30" t="n">
        <v>1.2125</v>
      </c>
      <c r="C48" s="13" t="n">
        <f aca="false">IF($C$12=1,EXP(($C$14-$C$11*LN(B48))/(1+$C$11)),($C$14*(1-$C$12)/(1+$C$11*B48^(1-$C$12)))^(1/(1-$C$12)))</f>
        <v>100.384944800916</v>
      </c>
      <c r="D48" s="13" t="n">
        <f aca="false">B48*C48</f>
        <v>121.716745571111</v>
      </c>
    </row>
    <row r="49" customFormat="false" ht="15" hidden="false" customHeight="false" outlineLevel="0" collapsed="false">
      <c r="B49" s="30" t="n">
        <v>1.25</v>
      </c>
      <c r="C49" s="13" t="n">
        <f aca="false">IF($C$12=1,EXP(($C$14-$C$11*LN(B49))/(1+$C$11)),($C$14*(1-$C$12)/(1+$C$11*B49^(1-$C$12)))^(1/(1-$C$12)))</f>
        <v>99.0619524648115</v>
      </c>
      <c r="D49" s="13" t="n">
        <f aca="false">B49*C49</f>
        <v>123.827440581014</v>
      </c>
    </row>
    <row r="50" customFormat="false" ht="15" hidden="false" customHeight="false" outlineLevel="0" collapsed="false">
      <c r="B50" s="30" t="n">
        <v>1.2875</v>
      </c>
      <c r="C50" s="13" t="n">
        <f aca="false">IF($C$12=1,EXP(($C$14-$C$11*LN(B50))/(1+$C$11)),($C$14*(1-$C$12)/(1+$C$11*B50^(1-$C$12)))^(1/(1-$C$12)))</f>
        <v>97.8160276434315</v>
      </c>
      <c r="D50" s="13" t="n">
        <f aca="false">B50*C50</f>
        <v>125.938135590918</v>
      </c>
    </row>
    <row r="51" customFormat="false" ht="15" hidden="false" customHeight="false" outlineLevel="0" collapsed="false">
      <c r="B51" s="30" t="n">
        <v>1.325</v>
      </c>
      <c r="C51" s="13" t="n">
        <f aca="false">IF($C$12=1,EXP(($C$14-$C$11*LN(B51))/(1+$C$11)),($C$14*(1-$C$12)/(1+$C$11*B51^(1-$C$12)))^(1/(1-$C$12)))</f>
        <v>96.6406268685447</v>
      </c>
      <c r="D51" s="13" t="n">
        <f aca="false">B51*C51</f>
        <v>128.048830600822</v>
      </c>
    </row>
    <row r="52" customFormat="false" ht="15" hidden="false" customHeight="false" outlineLevel="0" collapsed="false">
      <c r="B52" s="30" t="n">
        <v>1.3625</v>
      </c>
      <c r="C52" s="13" t="n">
        <f aca="false">IF($C$12=1,EXP(($C$14-$C$11*LN(B52))/(1+$C$11)),($C$14*(1-$C$12)/(1+$C$11*B52^(1-$C$12)))^(1/(1-$C$12)))</f>
        <v>95.5299270537434</v>
      </c>
      <c r="D52" s="13" t="n">
        <f aca="false">B52*C52</f>
        <v>130.159525610725</v>
      </c>
    </row>
    <row r="53" customFormat="false" ht="15" hidden="false" customHeight="false" outlineLevel="0" collapsed="false">
      <c r="B53" s="30" t="n">
        <v>1.4</v>
      </c>
      <c r="C53" s="13" t="n">
        <f aca="false">IF($C$12=1,EXP(($C$14-$C$11*LN(B53))/(1+$C$11)),($C$14*(1-$C$12)/(1+$C$11*B53^(1-$C$12)))^(1/(1-$C$12)))</f>
        <v>94.478729014735</v>
      </c>
      <c r="D53" s="13" t="n">
        <f aca="false">B53*C53</f>
        <v>132.270220620629</v>
      </c>
    </row>
    <row r="54" customFormat="false" ht="15" hidden="false" customHeight="false" outlineLevel="0" collapsed="false">
      <c r="B54" s="30" t="n">
        <v>1.4375</v>
      </c>
      <c r="C54" s="13" t="n">
        <f aca="false">IF($C$12=1,EXP(($C$14-$C$11*LN(B54))/(1+$C$11)),($C$14*(1-$C$12)/(1+$C$11*B54^(1-$C$12)))^(1/(1-$C$12)))</f>
        <v>93.4823760908053</v>
      </c>
      <c r="D54" s="13" t="n">
        <f aca="false">B54*C54</f>
        <v>134.380915630533</v>
      </c>
    </row>
    <row r="55" customFormat="false" ht="15" hidden="false" customHeight="false" outlineLevel="0" collapsed="false">
      <c r="B55" s="30" t="n">
        <v>1.475</v>
      </c>
      <c r="C55" s="13" t="n">
        <f aca="false">IF($C$12=1,EXP(($C$14-$C$11*LN(B55))/(1+$C$11)),($C$14*(1-$C$12)/(1+$C$11*B55^(1-$C$12)))^(1/(1-$C$12)))</f>
        <v>92.5366851799568</v>
      </c>
      <c r="D55" s="13" t="n">
        <f aca="false">B55*C55</f>
        <v>136.491610640436</v>
      </c>
    </row>
    <row r="56" customFormat="false" ht="15" hidden="false" customHeight="false" outlineLevel="0" collapsed="false">
      <c r="B56" s="30" t="n">
        <v>1.5125</v>
      </c>
      <c r="C56" s="13" t="n">
        <f aca="false">IF($C$12=1,EXP(($C$14-$C$11*LN(B56))/(1+$C$11)),($C$14*(1-$C$12)/(1+$C$11*B56^(1-$C$12)))^(1/(1-$C$12)))</f>
        <v>91.6378880332826</v>
      </c>
      <c r="D56" s="13" t="n">
        <f aca="false">B56*C56</f>
        <v>138.60230565034</v>
      </c>
    </row>
    <row r="57" customFormat="false" ht="15" hidden="false" customHeight="false" outlineLevel="0" collapsed="false">
      <c r="B57" s="30" t="n">
        <v>1.55</v>
      </c>
      <c r="C57" s="13" t="n">
        <f aca="false">IF($C$12=1,EXP(($C$14-$C$11*LN(B57))/(1+$C$11)),($C$14*(1-$C$12)/(1+$C$11*B57^(1-$C$12)))^(1/(1-$C$12)))</f>
        <v>90.7825810711249</v>
      </c>
      <c r="D57" s="13" t="n">
        <f aca="false">B57*C57</f>
        <v>140.713000660244</v>
      </c>
    </row>
    <row r="58" customFormat="false" ht="15" hidden="false" customHeight="false" outlineLevel="0" collapsed="false">
      <c r="B58" s="30" t="n">
        <v>1.5875</v>
      </c>
      <c r="C58" s="13" t="n">
        <f aca="false">IF($C$12=1,EXP(($C$14-$C$11*LN(B58))/(1+$C$11)),($C$14*(1-$C$12)/(1+$C$11*B58^(1-$C$12)))^(1/(1-$C$12)))</f>
        <v>89.9676823119038</v>
      </c>
      <c r="D58" s="13" t="n">
        <f aca="false">B58*C58</f>
        <v>142.823695670147</v>
      </c>
    </row>
    <row r="59" customFormat="false" ht="15" hidden="false" customHeight="false" outlineLevel="0" collapsed="false">
      <c r="B59" s="30" t="n">
        <v>1.625</v>
      </c>
      <c r="C59" s="13" t="n">
        <f aca="false">IF($C$12=1,EXP(($C$14-$C$11*LN(B59))/(1+$C$11)),($C$14*(1-$C$12)/(1+$C$11*B59^(1-$C$12)))^(1/(1-$C$12)))</f>
        <v>89.1903942646467</v>
      </c>
      <c r="D59" s="13" t="n">
        <f aca="false">B59*C59</f>
        <v>144.934390680051</v>
      </c>
    </row>
    <row r="60" customFormat="false" ht="15" hidden="false" customHeight="false" outlineLevel="0" collapsed="false">
      <c r="B60" s="30" t="n">
        <v>1.6625</v>
      </c>
      <c r="C60" s="13" t="n">
        <f aca="false">IF($C$12=1,EXP(($C$14-$C$11*LN(B60))/(1+$C$11)),($C$14*(1-$C$12)/(1+$C$11*B60^(1-$C$12)))^(1/(1-$C$12)))</f>
        <v>88.4481718435817</v>
      </c>
      <c r="D60" s="13" t="n">
        <f aca="false">B60*C60</f>
        <v>147.045085689955</v>
      </c>
    </row>
    <row r="61" customFormat="false" ht="15" hidden="false" customHeight="false" outlineLevel="0" collapsed="false">
      <c r="B61" s="30" t="n">
        <v>1.7</v>
      </c>
      <c r="C61" s="13" t="n">
        <f aca="false">IF($C$12=1,EXP(($C$14-$C$11*LN(B61))/(1+$C$11)),($C$14*(1-$C$12)/(1+$C$11*B61^(1-$C$12)))^(1/(1-$C$12)))</f>
        <v>87.7386945293284</v>
      </c>
      <c r="D61" s="13" t="n">
        <f aca="false">B61*C61</f>
        <v>149.155780699858</v>
      </c>
    </row>
    <row r="62" customFormat="false" ht="15" hidden="false" customHeight="false" outlineLevel="0" collapsed="false">
      <c r="B62" s="30" t="n">
        <v>1.7375</v>
      </c>
      <c r="C62" s="13" t="n">
        <f aca="false">IF($C$12=1,EXP(($C$14-$C$11*LN(B62))/(1+$C$11)),($C$14*(1-$C$12)/(1+$C$11*B62^(1-$C$12)))^(1/(1-$C$12)))</f>
        <v>87.0598421351147</v>
      </c>
      <c r="D62" s="13" t="n">
        <f aca="false">B62*C62</f>
        <v>151.266475709762</v>
      </c>
    </row>
    <row r="63" customFormat="false" ht="15" hidden="false" customHeight="false" outlineLevel="0" collapsed="false">
      <c r="B63" s="30" t="n">
        <v>1.775</v>
      </c>
      <c r="C63" s="13" t="n">
        <f aca="false">IF($C$12=1,EXP(($C$14-$C$11*LN(B63))/(1+$C$11)),($C$14*(1-$C$12)/(1+$C$11*B63^(1-$C$12)))^(1/(1-$C$12)))</f>
        <v>86.409673644882</v>
      </c>
      <c r="D63" s="13" t="n">
        <f aca="false">B63*C63</f>
        <v>153.377170719666</v>
      </c>
    </row>
    <row r="64" customFormat="false" ht="15" hidden="false" customHeight="false" outlineLevel="0" collapsed="false">
      <c r="B64" s="30" t="n">
        <v>1.8125</v>
      </c>
      <c r="C64" s="13" t="n">
        <f aca="false">IF($C$12=1,EXP(($C$14-$C$11*LN(B64))/(1+$C$11)),($C$14*(1-$C$12)/(1+$C$11*B64^(1-$C$12)))^(1/(1-$C$12)))</f>
        <v>85.786408678383</v>
      </c>
      <c r="D64" s="13" t="n">
        <f aca="false">B64*C64</f>
        <v>155.487865729569</v>
      </c>
    </row>
    <row r="65" customFormat="false" ht="15" hidden="false" customHeight="false" outlineLevel="0" collapsed="false">
      <c r="B65" s="30" t="n">
        <v>1.85</v>
      </c>
      <c r="C65" s="13" t="n">
        <f aca="false">IF($C$12=1,EXP(($C$14-$C$11*LN(B65))/(1+$C$11)),($C$14*(1-$C$12)/(1+$C$11*B65^(1-$C$12)))^(1/(1-$C$12)))</f>
        <v>85.1884112105258</v>
      </c>
      <c r="D65" s="13" t="n">
        <f aca="false">B65*C65</f>
        <v>157.598560739473</v>
      </c>
    </row>
    <row r="66" customFormat="false" ht="15" hidden="false" customHeight="false" outlineLevel="0" collapsed="false">
      <c r="B66" s="30" t="n">
        <v>1.8875</v>
      </c>
      <c r="C66" s="13" t="n">
        <f aca="false">IF($C$12=1,EXP(($C$14-$C$11*LN(B66))/(1+$C$11)),($C$14*(1-$C$12)/(1+$C$11*B66^(1-$C$12)))^(1/(1-$C$12)))</f>
        <v>84.6141752314577</v>
      </c>
      <c r="D66" s="13" t="n">
        <f aca="false">B66*C66</f>
        <v>159.709255749376</v>
      </c>
    </row>
    <row r="67" customFormat="false" ht="15" hidden="false" customHeight="false" outlineLevel="0" collapsed="false">
      <c r="B67" s="30" t="n">
        <v>1.925</v>
      </c>
      <c r="C67" s="13" t="n">
        <f aca="false">IF($C$12=1,EXP(($C$14-$C$11*LN(B67))/(1+$C$11)),($C$14*(1-$C$12)/(1+$C$11*B67^(1-$C$12)))^(1/(1-$C$12)))</f>
        <v>84.0623120827429</v>
      </c>
      <c r="D67" s="13" t="n">
        <f aca="false">B67*C67</f>
        <v>161.81995075928</v>
      </c>
    </row>
    <row r="68" customFormat="false" ht="15" hidden="false" customHeight="false" outlineLevel="0" collapsed="false">
      <c r="B68" s="30" t="n">
        <v>1.9625</v>
      </c>
      <c r="C68" s="13" t="n">
        <f aca="false">IF($C$12=1,EXP(($C$14-$C$11*LN(B68))/(1+$C$11)),($C$14*(1-$C$12)/(1+$C$11*B68^(1-$C$12)))^(1/(1-$C$12)))</f>
        <v>83.531539245444</v>
      </c>
      <c r="D68" s="13" t="n">
        <f aca="false">B68*C68</f>
        <v>163.930645769184</v>
      </c>
    </row>
    <row r="69" customFormat="false" ht="15" hidden="false" customHeight="false" outlineLevel="0" collapsed="false">
      <c r="B69" s="30" t="n">
        <v>2</v>
      </c>
      <c r="C69" s="13" t="n">
        <f aca="false">IF($C$12=1,EXP(($C$14-$C$11*LN(B69))/(1+$C$11)),($C$14*(1-$C$12)/(1+$C$11*B69^(1-$C$12)))^(1/(1-$C$12)))</f>
        <v>83.0206703895437</v>
      </c>
      <c r="D69" s="13" t="n">
        <f aca="false">B69*C69</f>
        <v>166.041340779087</v>
      </c>
    </row>
    <row r="70" customFormat="false" ht="15" hidden="false" customHeight="false" outlineLevel="0" collapsed="false">
      <c r="B70" s="30" t="n">
        <v>2.0375</v>
      </c>
      <c r="C70" s="13" t="n">
        <f aca="false">IF($C$12=1,EXP(($C$14-$C$11*LN(B70))/(1+$C$11)),($C$14*(1-$C$12)/(1+$C$11*B70^(1-$C$12)))^(1/(1-$C$12)))</f>
        <v>82.5286065222042</v>
      </c>
      <c r="D70" s="13" t="n">
        <f aca="false">B70*C70</f>
        <v>168.152035788991</v>
      </c>
    </row>
    <row r="71" customFormat="false" ht="15" hidden="false" customHeight="false" outlineLevel="0" collapsed="false">
      <c r="B71" s="30" t="n">
        <v>2.075</v>
      </c>
      <c r="C71" s="13" t="n">
        <f aca="false">IF($C$12=1,EXP(($C$14-$C$11*LN(B71))/(1+$C$11)),($C$14*(1-$C$12)/(1+$C$11*B71^(1-$C$12)))^(1/(1-$C$12)))</f>
        <v>82.0543280958529</v>
      </c>
      <c r="D71" s="13" t="n">
        <f aca="false">B71*C71</f>
        <v>170.262730798895</v>
      </c>
    </row>
    <row r="72" customFormat="false" ht="15" hidden="false" customHeight="false" outlineLevel="0" collapsed="false">
      <c r="B72" s="30" t="n">
        <v>2.1125</v>
      </c>
      <c r="C72" s="13" t="n">
        <f aca="false">IF($C$12=1,EXP(($C$14-$C$11*LN(B72))/(1+$C$11)),($C$14*(1-$C$12)/(1+$C$11*B72^(1-$C$12)))^(1/(1-$C$12)))</f>
        <v>81.5968879568276</v>
      </c>
      <c r="D72" s="13" t="n">
        <f aca="false">B72*C72</f>
        <v>172.373425808798</v>
      </c>
    </row>
    <row r="73" customFormat="false" ht="15" hidden="false" customHeight="false" outlineLevel="0" collapsed="false">
      <c r="B73" s="30" t="n">
        <v>2.15</v>
      </c>
      <c r="C73" s="13" t="n">
        <f aca="false">IF($C$12=1,EXP(($C$14-$C$11*LN(B73))/(1+$C$11)),($C$14*(1-$C$12)/(1+$C$11*B73^(1-$C$12)))^(1/(1-$C$12)))</f>
        <v>81.1554050319544</v>
      </c>
      <c r="D73" s="13" t="n">
        <f aca="false">B73*C73</f>
        <v>174.484120818702</v>
      </c>
    </row>
    <row r="74" customFormat="false" ht="15" hidden="false" customHeight="false" outlineLevel="0" collapsed="false">
      <c r="B74" s="30" t="n">
        <v>2.1875</v>
      </c>
      <c r="C74" s="13" t="n">
        <f aca="false">IF($C$12=1,EXP(($C$14-$C$11*LN(B74))/(1+$C$11)),($C$14*(1-$C$12)/(1+$C$11*B74^(1-$C$12)))^(1/(1-$C$12)))</f>
        <v>80.7290586645055</v>
      </c>
      <c r="D74" s="13" t="n">
        <f aca="false">B74*C74</f>
        <v>176.594815828606</v>
      </c>
    </row>
    <row r="75" customFormat="false" ht="15" hidden="false" customHeight="false" outlineLevel="0" collapsed="false">
      <c r="B75" s="30" t="n">
        <v>2.225</v>
      </c>
      <c r="C75" s="13" t="n">
        <f aca="false">IF($C$12=1,EXP(($C$14-$C$11*LN(B75))/(1+$C$11)),($C$14*(1-$C$12)/(1+$C$11*B75^(1-$C$12)))^(1/(1-$C$12)))</f>
        <v>80.3170835229255</v>
      </c>
      <c r="D75" s="13" t="n">
        <f aca="false">B75*C75</f>
        <v>178.705510838509</v>
      </c>
    </row>
    <row r="76" customFormat="false" ht="15" hidden="false" customHeight="false" outlineLevel="0" collapsed="false">
      <c r="B76" s="30" t="n">
        <v>2.2625</v>
      </c>
      <c r="C76" s="13" t="n">
        <f aca="false">IF($C$12=1,EXP(($C$14-$C$11*LN(B76))/(1+$C$11)),($C$14*(1-$C$12)/(1+$C$11*B76^(1-$C$12)))^(1/(1-$C$12)))</f>
        <v>79.9187650158732</v>
      </c>
      <c r="D76" s="13" t="n">
        <f aca="false">B76*C76</f>
        <v>180.816205848413</v>
      </c>
    </row>
    <row r="77" customFormat="false" ht="15" hidden="false" customHeight="false" outlineLevel="0" collapsed="false">
      <c r="B77" s="30" t="n">
        <v>2.3</v>
      </c>
      <c r="C77" s="13" t="n">
        <f aca="false">IF($C$12=1,EXP(($C$14-$C$11*LN(B77))/(1+$C$11)),($C$14*(1-$C$12)/(1+$C$11*B77^(1-$C$12)))^(1/(1-$C$12)))</f>
        <v>79.5334351557899</v>
      </c>
      <c r="D77" s="13" t="n">
        <f aca="false">B77*C77</f>
        <v>182.926900858317</v>
      </c>
    </row>
    <row r="78" customFormat="false" ht="15" hidden="false" customHeight="false" outlineLevel="0" collapsed="false">
      <c r="B78" s="30" t="n">
        <v>2.3375</v>
      </c>
      <c r="C78" s="13" t="n">
        <f aca="false">IF($C$12=1,EXP(($C$14-$C$11*LN(B78))/(1+$C$11)),($C$14*(1-$C$12)/(1+$C$11*B78^(1-$C$12)))^(1/(1-$C$12)))</f>
        <v>79.160468820629</v>
      </c>
      <c r="D78" s="13" t="n">
        <f aca="false">B78*C78</f>
        <v>185.03759586822</v>
      </c>
    </row>
    <row r="79" customFormat="false" ht="15" hidden="false" customHeight="false" outlineLevel="0" collapsed="false">
      <c r="B79" s="30" t="n">
        <v>2.375</v>
      </c>
      <c r="C79" s="13" t="n">
        <f aca="false">IF($C$12=1,EXP(($C$14-$C$11*LN(B79))/(1+$C$11)),($C$14*(1-$C$12)/(1+$C$11*B79^(1-$C$12)))^(1/(1-$C$12)))</f>
        <v>78.7992803697364</v>
      </c>
      <c r="D79" s="13" t="n">
        <f aca="false">B79*C79</f>
        <v>187.148290878124</v>
      </c>
    </row>
    <row r="80" customFormat="false" ht="15" hidden="false" customHeight="false" outlineLevel="0" collapsed="false">
      <c r="B80" s="30" t="n">
        <v>2.4125</v>
      </c>
      <c r="C80" s="13" t="n">
        <f aca="false">IF($C$12=1,EXP(($C$14-$C$11*LN(B80))/(1+$C$11)),($C$14*(1-$C$12)/(1+$C$11*B80^(1-$C$12)))^(1/(1-$C$12)))</f>
        <v>78.4493205753482</v>
      </c>
      <c r="D80" s="13" t="n">
        <f aca="false">B80*C80</f>
        <v>189.258985888028</v>
      </c>
    </row>
    <row r="81" customFormat="false" ht="15" hidden="false" customHeight="false" outlineLevel="0" collapsed="false">
      <c r="B81" s="30" t="n">
        <v>2.45</v>
      </c>
      <c r="C81" s="13" t="n">
        <f aca="false">IF($C$12=1,EXP(($C$14-$C$11*LN(B81))/(1+$C$11)),($C$14*(1-$C$12)/(1+$C$11*B81^(1-$C$12)))^(1/(1-$C$12)))</f>
        <v>78.1100738358903</v>
      </c>
      <c r="D81" s="13" t="n">
        <f aca="false">B81*C81</f>
        <v>191.369680897931</v>
      </c>
    </row>
    <row r="82" customFormat="false" ht="15" hidden="false" customHeight="false" outlineLevel="0" collapsed="false">
      <c r="B82" s="30" t="n">
        <v>2.4875</v>
      </c>
      <c r="C82" s="13" t="n">
        <f aca="false">IF($C$12=1,EXP(($C$14-$C$11*LN(B82))/(1+$C$11)),($C$14*(1-$C$12)/(1+$C$11*B82^(1-$C$12)))^(1/(1-$C$12)))</f>
        <v>77.7810556413407</v>
      </c>
      <c r="D82" s="13" t="n">
        <f aca="false">B82*C82</f>
        <v>193.480375907835</v>
      </c>
    </row>
    <row r="83" customFormat="false" ht="15" hidden="false" customHeight="false" outlineLevel="0" collapsed="false">
      <c r="B83" s="30" t="n">
        <v>2.525</v>
      </c>
      <c r="C83" s="13" t="n">
        <f aca="false">IF($C$12=1,EXP(($C$14-$C$11*LN(B83))/(1+$C$11)),($C$14*(1-$C$12)/(1+$C$11*B83^(1-$C$12)))^(1/(1-$C$12)))</f>
        <v>77.4618102644509</v>
      </c>
      <c r="D83" s="13" t="n">
        <f aca="false">B83*C83</f>
        <v>195.591070917739</v>
      </c>
    </row>
    <row r="84" customFormat="false" ht="15" hidden="false" customHeight="false" outlineLevel="0" collapsed="false">
      <c r="B84" s="30" t="n">
        <v>2.5625</v>
      </c>
      <c r="C84" s="13" t="n">
        <f aca="false">IF($C$12=1,EXP(($C$14-$C$11*LN(B84))/(1+$C$11)),($C$14*(1-$C$12)/(1+$C$11*B84^(1-$C$12)))^(1/(1-$C$12)))</f>
        <v>77.1519086546897</v>
      </c>
      <c r="D84" s="13" t="n">
        <f aca="false">B84*C84</f>
        <v>197.701765927642</v>
      </c>
    </row>
    <row r="85" customFormat="false" ht="15" hidden="false" customHeight="false" outlineLevel="0" collapsed="false">
      <c r="B85" s="30" t="n">
        <v>2.6</v>
      </c>
      <c r="C85" s="13" t="n">
        <f aca="false">IF($C$12=1,EXP(($C$14-$C$11*LN(B85))/(1+$C$11)),($C$14*(1-$C$12)/(1+$C$11*B85^(1-$C$12)))^(1/(1-$C$12)))</f>
        <v>76.8509465144407</v>
      </c>
      <c r="D85" s="13" t="n">
        <f aca="false">B85*C85</f>
        <v>199.812460937546</v>
      </c>
    </row>
    <row r="87" customFormat="false" ht="39" hidden="false" customHeight="true" outlineLevel="0" collapsed="false">
      <c r="B87" s="19" t="s">
        <v>105</v>
      </c>
      <c r="C87" s="19"/>
      <c r="D87" s="19"/>
      <c r="E87" s="19"/>
      <c r="F87" s="19"/>
      <c r="G87" s="19"/>
      <c r="H87" s="19"/>
      <c r="I87" s="19"/>
      <c r="J87" s="19"/>
    </row>
  </sheetData>
  <mergeCells count="5">
    <mergeCell ref="B1:J1"/>
    <mergeCell ref="B2:J2"/>
    <mergeCell ref="B4:J4"/>
    <mergeCell ref="B16:J16"/>
    <mergeCell ref="B87:J8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J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4"/>
    <col collapsed="false" customWidth="true" hidden="false" outlineLevel="0" max="10" min="3" style="0" width="14"/>
  </cols>
  <sheetData>
    <row r="1" customFormat="false" ht="25.5" hidden="false" customHeight="true" outlineLevel="0" collapsed="false">
      <c r="B1" s="1" t="s">
        <v>106</v>
      </c>
      <c r="C1" s="1"/>
      <c r="D1" s="1"/>
      <c r="E1" s="1"/>
      <c r="F1" s="1"/>
      <c r="G1" s="1"/>
      <c r="H1" s="1"/>
      <c r="I1" s="1"/>
      <c r="J1" s="1"/>
    </row>
    <row r="2" customFormat="false" ht="27.75" hidden="false" customHeight="true" outlineLevel="0" collapsed="false">
      <c r="B2" s="2" t="s">
        <v>107</v>
      </c>
      <c r="C2" s="2"/>
      <c r="D2" s="2"/>
      <c r="E2" s="2"/>
      <c r="F2" s="2"/>
      <c r="G2" s="2"/>
      <c r="H2" s="2"/>
      <c r="I2" s="2"/>
      <c r="J2" s="2"/>
    </row>
    <row r="4" customFormat="false" ht="15" hidden="false" customHeight="false" outlineLevel="0" collapsed="false">
      <c r="B4" s="10" t="s">
        <v>108</v>
      </c>
      <c r="C4" s="10"/>
      <c r="D4" s="10"/>
      <c r="E4" s="10"/>
      <c r="F4" s="10"/>
      <c r="G4" s="10"/>
      <c r="H4" s="10"/>
      <c r="I4" s="10"/>
      <c r="J4" s="10"/>
    </row>
    <row r="5" customFormat="false" ht="15" hidden="false" customHeight="false" outlineLevel="0" collapsed="false">
      <c r="B5" s="3" t="s">
        <v>109</v>
      </c>
      <c r="C5" s="3" t="s">
        <v>39</v>
      </c>
      <c r="D5" s="3" t="s">
        <v>110</v>
      </c>
      <c r="E5" s="3" t="s">
        <v>99</v>
      </c>
      <c r="F5" s="3" t="s">
        <v>100</v>
      </c>
      <c r="G5" s="3" t="s">
        <v>111</v>
      </c>
      <c r="H5" s="3" t="s">
        <v>112</v>
      </c>
    </row>
    <row r="6" customFormat="false" ht="15" hidden="false" customHeight="false" outlineLevel="0" collapsed="false">
      <c r="B6" s="13" t="n">
        <v>0.25</v>
      </c>
      <c r="C6" s="30" t="n">
        <f aca="false">1/B6</f>
        <v>4</v>
      </c>
      <c r="D6" s="24" t="n">
        <f aca="false">(Ejercicio!$G$5*(1+Ejercicio!$D$7))^(1/B6)</f>
        <v>0.990037437539062</v>
      </c>
      <c r="E6" s="13" t="n">
        <f aca="false">(Ejercicio!$D$5+Ejercicio!$D$6/(1+Ejercicio!$D$7))/(1+D6/(1+Ejercicio!$D$7))</f>
        <v>110.292093595803</v>
      </c>
      <c r="F6" s="13" t="n">
        <f aca="false">D6*E6</f>
        <v>109.193301724407</v>
      </c>
      <c r="G6" s="13" t="n">
        <f aca="false">Ejercicio!$D$5-E6</f>
        <v>-10.2920935958028</v>
      </c>
      <c r="H6" s="24" t="n">
        <f aca="false">F6/E6</f>
        <v>0.990037437539062</v>
      </c>
    </row>
    <row r="7" customFormat="false" ht="15" hidden="false" customHeight="false" outlineLevel="0" collapsed="false">
      <c r="B7" s="13" t="n">
        <v>0.5</v>
      </c>
      <c r="C7" s="30" t="n">
        <f aca="false">1/B7</f>
        <v>2</v>
      </c>
      <c r="D7" s="24" t="n">
        <f aca="false">(Ejercicio!$G$5*(1+Ejercicio!$D$7))^(1/B7)</f>
        <v>0.99500625</v>
      </c>
      <c r="E7" s="13" t="n">
        <f aca="false">(Ejercicio!$D$5+Ejercicio!$D$6/(1+Ejercicio!$D$7))/(1+D7/(1+Ejercicio!$D$7))</f>
        <v>110.024113618235</v>
      </c>
      <c r="F7" s="13" t="n">
        <f aca="false">D7*E7</f>
        <v>109.474680700854</v>
      </c>
      <c r="G7" s="13" t="n">
        <f aca="false">Ejercicio!$D$5-E7</f>
        <v>-10.0241136182347</v>
      </c>
      <c r="H7" s="24" t="n">
        <f aca="false">F7/E7</f>
        <v>0.99500625</v>
      </c>
    </row>
    <row r="8" customFormat="false" ht="15" hidden="false" customHeight="false" outlineLevel="0" collapsed="false">
      <c r="B8" s="13" t="n">
        <v>0.75</v>
      </c>
      <c r="C8" s="30" t="n">
        <f aca="false">1/B8</f>
        <v>1.33333333333333</v>
      </c>
      <c r="D8" s="24" t="n">
        <f aca="false">(Ejercicio!$G$5*(1+Ejercicio!$D$7))^(1/B8)</f>
        <v>0.996668056327965</v>
      </c>
      <c r="E8" s="13" t="n">
        <f aca="false">(Ejercicio!$D$5+Ejercicio!$D$6/(1+Ejercicio!$D$7))/(1+D8/(1+Ejercicio!$D$7))</f>
        <v>109.934778775843</v>
      </c>
      <c r="F8" s="13" t="n">
        <f aca="false">D8*E8</f>
        <v>109.568482285365</v>
      </c>
      <c r="G8" s="13" t="n">
        <f aca="false">Ejercicio!$D$5-E8</f>
        <v>-9.93477877584328</v>
      </c>
      <c r="H8" s="24" t="n">
        <f aca="false">F8/E8</f>
        <v>0.996668056327965</v>
      </c>
    </row>
    <row r="9" customFormat="false" ht="15" hidden="false" customHeight="false" outlineLevel="0" collapsed="false">
      <c r="B9" s="13" t="n">
        <v>1</v>
      </c>
      <c r="C9" s="30" t="n">
        <f aca="false">1/B9</f>
        <v>1</v>
      </c>
      <c r="D9" s="24" t="n">
        <f aca="false">(Ejercicio!$G$5*(1+Ejercicio!$D$7))^(1/B9)</f>
        <v>0.9975</v>
      </c>
      <c r="E9" s="13" t="n">
        <f aca="false">(Ejercicio!$D$5+Ejercicio!$D$6/(1+Ejercicio!$D$7))/(1+D9/(1+Ejercicio!$D$7))</f>
        <v>109.89010989011</v>
      </c>
      <c r="F9" s="13" t="n">
        <f aca="false">D9*E9</f>
        <v>109.615384615385</v>
      </c>
      <c r="G9" s="13" t="n">
        <f aca="false">Ejercicio!$D$5-E9</f>
        <v>-9.89010989010988</v>
      </c>
      <c r="H9" s="24" t="n">
        <f aca="false">F9/E9</f>
        <v>0.9975</v>
      </c>
    </row>
    <row r="10" customFormat="false" ht="15" hidden="false" customHeight="false" outlineLevel="0" collapsed="false">
      <c r="B10" s="13" t="n">
        <v>1.5</v>
      </c>
      <c r="C10" s="30" t="n">
        <f aca="false">1/B10</f>
        <v>0.666666666666667</v>
      </c>
      <c r="D10" s="24" t="n">
        <f aca="false">(Ejercicio!$G$5*(1+Ejercicio!$D$7))^(1/B10)</f>
        <v>0.998332638116157</v>
      </c>
      <c r="E10" s="13" t="n">
        <f aca="false">(Ejercicio!$D$5+Ejercicio!$D$6/(1+Ejercicio!$D$7))/(1+D10/(1+Ejercicio!$D$7))</f>
        <v>109.845440048708</v>
      </c>
      <c r="F10" s="13" t="n">
        <f aca="false">D10*E10</f>
        <v>109.662287948857</v>
      </c>
      <c r="G10" s="13" t="n">
        <f aca="false">Ejercicio!$D$5-E10</f>
        <v>-9.8454400487079</v>
      </c>
      <c r="H10" s="24" t="n">
        <f aca="false">F10/E10</f>
        <v>0.998332638116157</v>
      </c>
    </row>
    <row r="11" customFormat="false" ht="15" hidden="false" customHeight="false" outlineLevel="0" collapsed="false">
      <c r="B11" s="27" t="n">
        <v>2</v>
      </c>
      <c r="C11" s="30" t="n">
        <f aca="false">1/B11</f>
        <v>0.5</v>
      </c>
      <c r="D11" s="24" t="n">
        <f aca="false">(Ejercicio!$G$5*(1+Ejercicio!$D$7))^(1/B11)</f>
        <v>0.998749217771909</v>
      </c>
      <c r="E11" s="13" t="n">
        <f aca="false">(Ejercicio!$D$5+Ejercicio!$D$6/(1+Ejercicio!$D$7))/(1+D11/(1+Ejercicio!$D$7))</f>
        <v>109.823104774481</v>
      </c>
      <c r="F11" s="13" t="n">
        <f aca="false">D11*E11</f>
        <v>109.685739986795</v>
      </c>
      <c r="G11" s="13" t="n">
        <f aca="false">Ejercicio!$D$5-E11</f>
        <v>-9.82310477448083</v>
      </c>
      <c r="H11" s="24" t="n">
        <f aca="false">F11/E11</f>
        <v>0.998749217771909</v>
      </c>
    </row>
    <row r="12" customFormat="false" ht="15" hidden="false" customHeight="false" outlineLevel="0" collapsed="false">
      <c r="B12" s="13" t="n">
        <v>3</v>
      </c>
      <c r="C12" s="30" t="n">
        <f aca="false">1/B12</f>
        <v>0.333333333333333</v>
      </c>
      <c r="D12" s="24" t="n">
        <f aca="false">(Ejercicio!$G$5*(1+Ejercicio!$D$7))^(1/B12)</f>
        <v>0.999165971256106</v>
      </c>
      <c r="E12" s="13" t="n">
        <f aca="false">(Ejercicio!$D$5+Ejercicio!$D$6/(1+Ejercicio!$D$7))/(1+D12/(1+Ejercicio!$D$7))</f>
        <v>109.800769267156</v>
      </c>
      <c r="F12" s="13" t="n">
        <f aca="false">D12*E12</f>
        <v>109.709192269486</v>
      </c>
      <c r="G12" s="13" t="n">
        <f aca="false">Ejercicio!$D$5-E12</f>
        <v>-9.80076926715637</v>
      </c>
      <c r="H12" s="24" t="n">
        <f aca="false">F12/E12</f>
        <v>0.999165971256106</v>
      </c>
    </row>
    <row r="13" customFormat="false" ht="15" hidden="false" customHeight="false" outlineLevel="0" collapsed="false">
      <c r="B13" s="13" t="n">
        <v>5</v>
      </c>
      <c r="C13" s="30" t="n">
        <f aca="false">1/B13</f>
        <v>0.2</v>
      </c>
      <c r="D13" s="24" t="n">
        <f aca="false">(Ejercicio!$G$5*(1+Ejercicio!$D$7))^(1/B13)</f>
        <v>0.999499499248685</v>
      </c>
      <c r="E13" s="13" t="n">
        <f aca="false">(Ejercicio!$D$5+Ejercicio!$D$6/(1+Ejercicio!$D$7))/(1+D13/(1+Ejercicio!$D$7))</f>
        <v>109.78290069477</v>
      </c>
      <c r="F13" s="13" t="n">
        <f aca="false">D13*E13</f>
        <v>109.727954270491</v>
      </c>
      <c r="G13" s="13" t="n">
        <f aca="false">Ejercicio!$D$5-E13</f>
        <v>-9.78290069477038</v>
      </c>
      <c r="H13" s="24" t="n">
        <f aca="false">F13/E13</f>
        <v>0.999499499248685</v>
      </c>
    </row>
    <row r="14" customFormat="false" ht="15" hidden="false" customHeight="false" outlineLevel="0" collapsed="false">
      <c r="B14" s="13" t="n">
        <v>10</v>
      </c>
      <c r="C14" s="30" t="n">
        <f aca="false">1/B14</f>
        <v>0.1</v>
      </c>
      <c r="D14" s="24" t="n">
        <f aca="false">(Ejercicio!$G$5*(1+Ejercicio!$D$7))^(1/B14)</f>
        <v>0.999749718303879</v>
      </c>
      <c r="E14" s="13" t="n">
        <f aca="false">(Ejercicio!$D$5+Ejercicio!$D$6/(1+Ejercicio!$D$7))/(1+D14/(1+Ejercicio!$D$7))</f>
        <v>109.769499168992</v>
      </c>
      <c r="F14" s="13" t="n">
        <f aca="false">D14*E14</f>
        <v>109.742025872558</v>
      </c>
      <c r="G14" s="13" t="n">
        <f aca="false">Ejercicio!$D$5-E14</f>
        <v>-9.7694991689924</v>
      </c>
      <c r="H14" s="24" t="n">
        <f aca="false">F14/E14</f>
        <v>0.999749718303879</v>
      </c>
    </row>
    <row r="15" customFormat="false" ht="39" hidden="false" customHeight="true" outlineLevel="0" collapsed="false">
      <c r="B15" s="19" t="s">
        <v>113</v>
      </c>
      <c r="C15" s="19"/>
      <c r="D15" s="19"/>
      <c r="E15" s="19"/>
      <c r="F15" s="19"/>
      <c r="G15" s="19"/>
      <c r="H15" s="19"/>
      <c r="I15" s="19"/>
      <c r="J15" s="19"/>
    </row>
    <row r="17" customFormat="false" ht="15" hidden="false" customHeight="false" outlineLevel="0" collapsed="false">
      <c r="B17" s="10" t="s">
        <v>114</v>
      </c>
      <c r="C17" s="10"/>
      <c r="D17" s="10"/>
      <c r="E17" s="10"/>
      <c r="F17" s="10"/>
      <c r="G17" s="10"/>
      <c r="H17" s="10"/>
      <c r="I17" s="10"/>
      <c r="J17" s="10"/>
    </row>
    <row r="18" customFormat="false" ht="15" hidden="false" customHeight="false" outlineLevel="0" collapsed="false">
      <c r="B18" s="3" t="s">
        <v>115</v>
      </c>
      <c r="C18" s="3" t="s">
        <v>116</v>
      </c>
      <c r="D18" s="3" t="s">
        <v>110</v>
      </c>
      <c r="E18" s="3" t="s">
        <v>99</v>
      </c>
      <c r="F18" s="3" t="s">
        <v>100</v>
      </c>
      <c r="G18" s="3" t="s">
        <v>111</v>
      </c>
      <c r="H18" s="3" t="s">
        <v>117</v>
      </c>
    </row>
    <row r="19" customFormat="false" ht="15" hidden="false" customHeight="false" outlineLevel="0" collapsed="false">
      <c r="B19" s="28" t="n">
        <v>0</v>
      </c>
      <c r="C19" s="13" t="n">
        <f aca="false">Ejercicio!$D$5+Ejercicio!$D$6/(1+B19)</f>
        <v>220</v>
      </c>
      <c r="D19" s="24" t="n">
        <f aca="false">(Ejercicio!$G$5*(1+B19))^(1/Ejercicio!$G$6)</f>
        <v>0.974679434480896</v>
      </c>
      <c r="E19" s="13" t="n">
        <f aca="false">C19/(1+D19/(1+B19))</f>
        <v>111.410488284056</v>
      </c>
      <c r="F19" s="13" t="n">
        <f aca="false">D19*E19</f>
        <v>108.589511715944</v>
      </c>
      <c r="G19" s="13" t="n">
        <f aca="false">Ejercicio!$D$5-E19</f>
        <v>-11.4104882840559</v>
      </c>
      <c r="H19" s="24" t="n">
        <f aca="false">Ejercicio!$G$5*(1+B19)</f>
        <v>0.95</v>
      </c>
    </row>
    <row r="20" customFormat="false" ht="15" hidden="false" customHeight="false" outlineLevel="0" collapsed="false">
      <c r="B20" s="28" t="n">
        <v>0.02</v>
      </c>
      <c r="C20" s="13" t="n">
        <f aca="false">Ejercicio!$D$5+Ejercicio!$D$6/(1+B20)</f>
        <v>217.647058823529</v>
      </c>
      <c r="D20" s="24" t="n">
        <f aca="false">(Ejercicio!$G$5*(1+B20))^(1/Ejercicio!$G$6)</f>
        <v>0.984377976185977</v>
      </c>
      <c r="E20" s="13" t="n">
        <f aca="false">C20/(1+D20/(1+B20))</f>
        <v>110.757553035197</v>
      </c>
      <c r="F20" s="13" t="n">
        <f aca="false">D20*E20</f>
        <v>109.027295904099</v>
      </c>
      <c r="G20" s="13" t="n">
        <f aca="false">Ejercicio!$D$5-E20</f>
        <v>-10.7575530351974</v>
      </c>
      <c r="H20" s="24" t="n">
        <f aca="false">Ejercicio!$G$5*(1+B20)</f>
        <v>0.969</v>
      </c>
    </row>
    <row r="21" customFormat="false" ht="15" hidden="false" customHeight="false" outlineLevel="0" collapsed="false">
      <c r="B21" s="28" t="n">
        <v>0.04</v>
      </c>
      <c r="C21" s="13" t="n">
        <f aca="false">Ejercicio!$D$5+Ejercicio!$D$6/(1+B21)</f>
        <v>215.384615384615</v>
      </c>
      <c r="D21" s="24" t="n">
        <f aca="false">(Ejercicio!$G$5*(1+B21))^(1/Ejercicio!$G$6)</f>
        <v>0.993981891183134</v>
      </c>
      <c r="E21" s="13" t="n">
        <f aca="false">C21/(1+D21/(1+B21))</f>
        <v>110.128807424978</v>
      </c>
      <c r="F21" s="13" t="n">
        <f aca="false">D21*E21</f>
        <v>109.466040278023</v>
      </c>
      <c r="G21" s="13" t="n">
        <f aca="false">Ejercicio!$D$5-E21</f>
        <v>-10.128807424978</v>
      </c>
      <c r="H21" s="24" t="n">
        <f aca="false">Ejercicio!$G$5*(1+B21)</f>
        <v>0.988</v>
      </c>
    </row>
    <row r="22" customFormat="false" ht="15" hidden="false" customHeight="false" outlineLevel="0" collapsed="false">
      <c r="B22" s="25" t="n">
        <v>0.05</v>
      </c>
      <c r="C22" s="13" t="n">
        <f aca="false">Ejercicio!$D$5+Ejercicio!$D$6/(1+B22)</f>
        <v>214.285714285714</v>
      </c>
      <c r="D22" s="24" t="n">
        <f aca="false">(Ejercicio!$G$5*(1+B22))^(1/Ejercicio!$G$6)</f>
        <v>0.998749217771909</v>
      </c>
      <c r="E22" s="13" t="n">
        <f aca="false">C22/(1+D22/(1+B22))</f>
        <v>109.823104774481</v>
      </c>
      <c r="F22" s="13" t="n">
        <f aca="false">D22*E22</f>
        <v>109.685739986795</v>
      </c>
      <c r="G22" s="13" t="n">
        <f aca="false">Ejercicio!$D$5-E22</f>
        <v>-9.82310477448083</v>
      </c>
      <c r="H22" s="24" t="n">
        <f aca="false">Ejercicio!$G$5*(1+B22)</f>
        <v>0.9975</v>
      </c>
    </row>
    <row r="23" customFormat="false" ht="15" hidden="false" customHeight="false" outlineLevel="0" collapsed="false">
      <c r="B23" s="28" t="n">
        <v>0.0526</v>
      </c>
      <c r="C23" s="13" t="n">
        <f aca="false">Ejercicio!$D$5+Ejercicio!$D$6/(1+B23)</f>
        <v>214.003420102603</v>
      </c>
      <c r="D23" s="24" t="n">
        <f aca="false">(Ejercicio!$G$5*(1+B23))^(1/Ejercicio!$G$6)</f>
        <v>0.999984999887498</v>
      </c>
      <c r="E23" s="13" t="n">
        <f aca="false">C23/(1+D23/(1+B23))</f>
        <v>109.744541644973</v>
      </c>
      <c r="F23" s="13" t="n">
        <f aca="false">D23*E23</f>
        <v>109.742895464502</v>
      </c>
      <c r="G23" s="13" t="n">
        <f aca="false">Ejercicio!$D$5-E23</f>
        <v>-9.74454164497278</v>
      </c>
      <c r="H23" s="24" t="n">
        <f aca="false">Ejercicio!$G$5*(1+B23)</f>
        <v>0.99997</v>
      </c>
    </row>
    <row r="24" customFormat="false" ht="15" hidden="false" customHeight="false" outlineLevel="0" collapsed="false">
      <c r="B24" s="28" t="n">
        <v>0.08</v>
      </c>
      <c r="C24" s="13" t="n">
        <f aca="false">Ejercicio!$D$5+Ejercicio!$D$6/(1+B24)</f>
        <v>211.111111111111</v>
      </c>
      <c r="D24" s="24" t="n">
        <f aca="false">(Ejercicio!$G$5*(1+B24))^(1/Ejercicio!$G$6)</f>
        <v>1.01291658096805</v>
      </c>
      <c r="E24" s="13" t="n">
        <f aca="false">C24/(1+D24/(1+B24))</f>
        <v>108.938885607444</v>
      </c>
      <c r="F24" s="13" t="n">
        <f aca="false">D24*E24</f>
        <v>110.346003543961</v>
      </c>
      <c r="G24" s="13" t="n">
        <f aca="false">Ejercicio!$D$5-E24</f>
        <v>-8.93888560744352</v>
      </c>
      <c r="H24" s="24" t="n">
        <f aca="false">Ejercicio!$G$5*(1+B24)</f>
        <v>1.026</v>
      </c>
    </row>
    <row r="25" customFormat="false" ht="15" hidden="false" customHeight="false" outlineLevel="0" collapsed="false">
      <c r="B25" s="28" t="n">
        <v>0.1</v>
      </c>
      <c r="C25" s="13" t="n">
        <f aca="false">Ejercicio!$D$5+Ejercicio!$D$6/(1+B25)</f>
        <v>209.090909090909</v>
      </c>
      <c r="D25" s="24" t="n">
        <f aca="false">(Ejercicio!$G$5*(1+B25))^(1/Ejercicio!$G$6)</f>
        <v>1.02225241501304</v>
      </c>
      <c r="E25" s="13" t="n">
        <f aca="false">C25/(1+D25/(1+B25))</f>
        <v>108.375421496969</v>
      </c>
      <c r="F25" s="13" t="n">
        <f aca="false">D25*E25</f>
        <v>110.787036353334</v>
      </c>
      <c r="G25" s="13" t="n">
        <f aca="false">Ejercicio!$D$5-E25</f>
        <v>-8.37542149696947</v>
      </c>
      <c r="H25" s="24" t="n">
        <f aca="false">Ejercicio!$G$5*(1+B25)</f>
        <v>1.045</v>
      </c>
    </row>
    <row r="26" customFormat="false" ht="15" hidden="false" customHeight="false" outlineLevel="0" collapsed="false">
      <c r="B26" s="28" t="n">
        <v>0.15</v>
      </c>
      <c r="C26" s="13" t="n">
        <f aca="false">Ejercicio!$D$5+Ejercicio!$D$6/(1+B26)</f>
        <v>204.347826086957</v>
      </c>
      <c r="D26" s="24" t="n">
        <f aca="false">(Ejercicio!$G$5*(1+B26))^(1/Ejercicio!$G$6)</f>
        <v>1.04522724801834</v>
      </c>
      <c r="E26" s="13" t="n">
        <f aca="false">C26/(1+D26/(1+B26))</f>
        <v>107.050420502997</v>
      </c>
      <c r="F26" s="13" t="n">
        <f aca="false">D26*E26</f>
        <v>111.892016421554</v>
      </c>
      <c r="G26" s="13" t="n">
        <f aca="false">Ejercicio!$D$5-E26</f>
        <v>-7.05042050299674</v>
      </c>
      <c r="H26" s="24" t="n">
        <f aca="false">Ejercicio!$G$5*(1+B26)</f>
        <v>1.0925</v>
      </c>
    </row>
    <row r="27" customFormat="false" ht="15" hidden="false" customHeight="false" outlineLevel="0" collapsed="false">
      <c r="B27" s="28" t="n">
        <v>0.2</v>
      </c>
      <c r="C27" s="13" t="n">
        <f aca="false">Ejercicio!$D$5+Ejercicio!$D$6/(1+B27)</f>
        <v>200</v>
      </c>
      <c r="D27" s="24" t="n">
        <f aca="false">(Ejercicio!$G$5*(1+B27))^(1/Ejercicio!$G$6)</f>
        <v>1.06770782520313</v>
      </c>
      <c r="E27" s="13" t="n">
        <f aca="false">C27/(1+D27/(1+B27))</f>
        <v>105.833739837495</v>
      </c>
      <c r="F27" s="13" t="n">
        <f aca="false">D27*E27</f>
        <v>112.999512195006</v>
      </c>
      <c r="G27" s="13" t="n">
        <f aca="false">Ejercicio!$D$5-E27</f>
        <v>-5.8337398374951</v>
      </c>
      <c r="H27" s="24" t="n">
        <f aca="false">Ejercicio!$G$5*(1+B27)</f>
        <v>1.14</v>
      </c>
    </row>
    <row r="28" customFormat="false" ht="15" hidden="false" customHeight="false" outlineLevel="0" collapsed="false">
      <c r="B28" s="7" t="s">
        <v>118</v>
      </c>
      <c r="C28" s="31" t="n">
        <f aca="false">1/Ejercicio!$G$5-1</f>
        <v>0.0526315789473684</v>
      </c>
    </row>
    <row r="29" customFormat="false" ht="15" hidden="false" customHeight="false" outlineLevel="0" collapsed="false">
      <c r="B29" s="7" t="s">
        <v>119</v>
      </c>
      <c r="C29" s="31" t="n">
        <f aca="false">(Ejercicio!$D$6/Ejercicio!$D$5)^Ejercicio!$G$6/Ejercicio!$G$5-1</f>
        <v>0.515789473684211</v>
      </c>
      <c r="D29" s="23" t="s">
        <v>120</v>
      </c>
    </row>
    <row r="30" customFormat="false" ht="15" hidden="false" customHeight="false" outlineLevel="0" collapsed="false">
      <c r="B30" s="8" t="s">
        <v>121</v>
      </c>
      <c r="C30" s="24" t="n">
        <f aca="false">(Ejercicio!$G$5*(1+C29))^(1/Ejercicio!$G$6)</f>
        <v>1.2</v>
      </c>
    </row>
    <row r="31" customFormat="false" ht="15" hidden="false" customHeight="false" outlineLevel="0" collapsed="false">
      <c r="B31" s="8" t="s">
        <v>122</v>
      </c>
      <c r="C31" s="24" t="n">
        <f aca="false">Ejercicio!$D$6/Ejercicio!$D$5</f>
        <v>1.2</v>
      </c>
    </row>
    <row r="32" customFormat="false" ht="39" hidden="false" customHeight="true" outlineLevel="0" collapsed="false">
      <c r="B32" s="19" t="s">
        <v>123</v>
      </c>
      <c r="C32" s="19"/>
      <c r="D32" s="19"/>
      <c r="E32" s="19"/>
      <c r="F32" s="19"/>
      <c r="G32" s="19"/>
      <c r="H32" s="19"/>
      <c r="I32" s="19"/>
      <c r="J32" s="19"/>
    </row>
    <row r="34" customFormat="false" ht="15" hidden="false" customHeight="false" outlineLevel="0" collapsed="false">
      <c r="B34" s="10" t="s">
        <v>124</v>
      </c>
      <c r="C34" s="10"/>
      <c r="D34" s="10"/>
      <c r="E34" s="10"/>
      <c r="F34" s="10"/>
      <c r="G34" s="10"/>
      <c r="H34" s="10"/>
      <c r="I34" s="10"/>
      <c r="J34" s="10"/>
    </row>
    <row r="35" customFormat="false" ht="15" hidden="false" customHeight="false" outlineLevel="0" collapsed="false">
      <c r="B35" s="3" t="s">
        <v>125</v>
      </c>
      <c r="C35" s="3" t="s">
        <v>126</v>
      </c>
      <c r="D35" s="3" t="s">
        <v>110</v>
      </c>
      <c r="E35" s="3" t="s">
        <v>99</v>
      </c>
      <c r="F35" s="3" t="s">
        <v>100</v>
      </c>
      <c r="G35" s="3" t="s">
        <v>111</v>
      </c>
      <c r="H35" s="3" t="s">
        <v>127</v>
      </c>
    </row>
    <row r="36" customFormat="false" ht="15" hidden="false" customHeight="false" outlineLevel="0" collapsed="false">
      <c r="B36" s="32" t="n">
        <v>0.8</v>
      </c>
      <c r="C36" s="28" t="n">
        <f aca="false">1/B36-1</f>
        <v>0.25</v>
      </c>
      <c r="D36" s="24" t="n">
        <f aca="false">(B36*(1+Ejercicio!$D$7))^(1/Ejercicio!$G$6)</f>
        <v>0.916515138991168</v>
      </c>
      <c r="E36" s="13" t="n">
        <f aca="false">(Ejercicio!$D$5+Ejercicio!$D$6/(1+Ejercicio!$D$7))/(1+D36/(1+Ejercicio!$D$7))</f>
        <v>114.415595150427</v>
      </c>
      <c r="F36" s="13" t="n">
        <f aca="false">D36*E36</f>
        <v>104.863625092051</v>
      </c>
      <c r="G36" s="13" t="n">
        <f aca="false">Ejercicio!$D$5-E36</f>
        <v>-14.4155951504274</v>
      </c>
      <c r="H36" s="33" t="str">
        <f aca="false">IF(D36&gt;1.000001,"creciente",IF(D36&lt;0.999999,"decreciente","plano"))</f>
        <v>decreciente</v>
      </c>
    </row>
    <row r="37" customFormat="false" ht="15" hidden="false" customHeight="false" outlineLevel="0" collapsed="false">
      <c r="B37" s="32" t="n">
        <v>0.85</v>
      </c>
      <c r="C37" s="28" t="n">
        <f aca="false">1/B37-1</f>
        <v>0.176470588235294</v>
      </c>
      <c r="D37" s="24" t="n">
        <f aca="false">(B37*(1+Ejercicio!$D$7))^(1/Ejercicio!$G$6)</f>
        <v>0.944722181384559</v>
      </c>
      <c r="E37" s="13" t="n">
        <f aca="false">(Ejercicio!$D$5+Ejercicio!$D$6/(1+Ejercicio!$D$7))/(1+D37/(1+Ejercicio!$D$7))</f>
        <v>112.797662802258</v>
      </c>
      <c r="F37" s="13" t="n">
        <f aca="false">D37*E37</f>
        <v>106.562454057629</v>
      </c>
      <c r="G37" s="13" t="n">
        <f aca="false">Ejercicio!$D$5-E37</f>
        <v>-12.797662802258</v>
      </c>
      <c r="H37" s="33" t="str">
        <f aca="false">IF(D37&gt;1.000001,"creciente",IF(D37&lt;0.999999,"decreciente","plano"))</f>
        <v>decreciente</v>
      </c>
    </row>
    <row r="38" customFormat="false" ht="15" hidden="false" customHeight="false" outlineLevel="0" collapsed="false">
      <c r="B38" s="32" t="n">
        <v>0.9</v>
      </c>
      <c r="C38" s="28" t="n">
        <f aca="false">1/B38-1</f>
        <v>0.111111111111111</v>
      </c>
      <c r="D38" s="24" t="n">
        <f aca="false">(B38*(1+Ejercicio!$D$7))^(1/Ejercicio!$G$6)</f>
        <v>0.972111104761179</v>
      </c>
      <c r="E38" s="13" t="n">
        <f aca="false">(Ejercicio!$D$5+Ejercicio!$D$6/(1+Ejercicio!$D$7))/(1+D38/(1+Ejercicio!$D$7))</f>
        <v>111.269850341173</v>
      </c>
      <c r="F38" s="13" t="n">
        <f aca="false">D38*E38</f>
        <v>108.166657141769</v>
      </c>
      <c r="G38" s="13" t="n">
        <f aca="false">Ejercicio!$D$5-E38</f>
        <v>-11.2698503411728</v>
      </c>
      <c r="H38" s="33" t="str">
        <f aca="false">IF(D38&gt;1.000001,"creciente",IF(D38&lt;0.999999,"decreciente","plano"))</f>
        <v>decreciente</v>
      </c>
    </row>
    <row r="39" customFormat="false" ht="15" hidden="false" customHeight="false" outlineLevel="0" collapsed="false">
      <c r="B39" s="34" t="n">
        <v>0.95</v>
      </c>
      <c r="C39" s="28" t="n">
        <f aca="false">1/B39-1</f>
        <v>0.0526315789473684</v>
      </c>
      <c r="D39" s="24" t="n">
        <f aca="false">(B39*(1+Ejercicio!$D$7))^(1/Ejercicio!$G$6)</f>
        <v>0.998749217771909</v>
      </c>
      <c r="E39" s="13" t="n">
        <f aca="false">(Ejercicio!$D$5+Ejercicio!$D$6/(1+Ejercicio!$D$7))/(1+D39/(1+Ejercicio!$D$7))</f>
        <v>109.823104774481</v>
      </c>
      <c r="F39" s="13" t="n">
        <f aca="false">D39*E39</f>
        <v>109.685739986795</v>
      </c>
      <c r="G39" s="13" t="n">
        <f aca="false">Ejercicio!$D$5-E39</f>
        <v>-9.82310477448083</v>
      </c>
      <c r="H39" s="33" t="str">
        <f aca="false">IF(D39&gt;1.000001,"creciente",IF(D39&lt;0.999999,"decreciente","plano"))</f>
        <v>decreciente</v>
      </c>
    </row>
    <row r="40" customFormat="false" ht="15" hidden="false" customHeight="false" outlineLevel="0" collapsed="false">
      <c r="B40" s="32" t="n">
        <v>0.9524</v>
      </c>
      <c r="C40" s="28" t="n">
        <f aca="false">1/B40-1</f>
        <v>0.0499790004199916</v>
      </c>
      <c r="D40" s="24" t="n">
        <f aca="false">(B40*(1+Ejercicio!$D$7))^(1/Ejercicio!$G$6)</f>
        <v>1.00000999995</v>
      </c>
      <c r="E40" s="13" t="n">
        <f aca="false">(Ejercicio!$D$5+Ejercicio!$D$6/(1+Ejercicio!$D$7))/(1+D40/(1+Ejercicio!$D$7))</f>
        <v>109.755562170666</v>
      </c>
      <c r="F40" s="13" t="n">
        <f aca="false">D40*E40</f>
        <v>109.7566597208</v>
      </c>
      <c r="G40" s="13" t="n">
        <f aca="false">Ejercicio!$D$5-E40</f>
        <v>-9.75556217066635</v>
      </c>
      <c r="H40" s="33" t="str">
        <f aca="false">IF(D40&gt;1.000001,"creciente",IF(D40&lt;0.999999,"decreciente","plano"))</f>
        <v>creciente</v>
      </c>
    </row>
    <row r="41" customFormat="false" ht="15" hidden="false" customHeight="false" outlineLevel="0" collapsed="false">
      <c r="B41" s="32" t="n">
        <v>0.97</v>
      </c>
      <c r="C41" s="28" t="n">
        <f aca="false">1/B41-1</f>
        <v>0.0309278350515465</v>
      </c>
      <c r="D41" s="24" t="n">
        <f aca="false">(B41*(1+Ejercicio!$D$7))^(1/Ejercicio!$G$6)</f>
        <v>1.00920760995942</v>
      </c>
      <c r="E41" s="13" t="n">
        <f aca="false">(Ejercicio!$D$5+Ejercicio!$D$6/(1+Ejercicio!$D$7))/(1+D41/(1+Ejercicio!$D$7))</f>
        <v>109.265330465846</v>
      </c>
      <c r="F41" s="13" t="n">
        <f aca="false">D41*E41</f>
        <v>110.271403010862</v>
      </c>
      <c r="G41" s="13" t="n">
        <f aca="false">Ejercicio!$D$5-E41</f>
        <v>-9.26533046584567</v>
      </c>
      <c r="H41" s="33" t="str">
        <f aca="false">IF(D41&gt;1.000001,"creciente",IF(D41&lt;0.999999,"decreciente","plano"))</f>
        <v>creciente</v>
      </c>
    </row>
    <row r="42" customFormat="false" ht="15" hidden="false" customHeight="false" outlineLevel="0" collapsed="false">
      <c r="B42" s="32" t="n">
        <v>1</v>
      </c>
      <c r="C42" s="28" t="n">
        <f aca="false">1/B42-1</f>
        <v>0</v>
      </c>
      <c r="D42" s="24" t="n">
        <f aca="false">(B42*(1+Ejercicio!$D$7))^(1/Ejercicio!$G$6)</f>
        <v>1.02469507659596</v>
      </c>
      <c r="E42" s="13" t="n">
        <f aca="false">(Ejercicio!$D$5+Ejercicio!$D$6/(1+Ejercicio!$D$7))/(1+D42/(1+Ejercicio!$D$7))</f>
        <v>108.449671731601</v>
      </c>
      <c r="F42" s="13" t="n">
        <f aca="false">D42*E42</f>
        <v>111.127844681819</v>
      </c>
      <c r="G42" s="13" t="n">
        <f aca="false">Ejercicio!$D$5-E42</f>
        <v>-8.44967173160069</v>
      </c>
      <c r="H42" s="33" t="str">
        <f aca="false">IF(D42&gt;1.000001,"creciente",IF(D42&lt;0.999999,"decreciente","plano"))</f>
        <v>creciente</v>
      </c>
    </row>
    <row r="43" customFormat="false" ht="39" hidden="false" customHeight="true" outlineLevel="0" collapsed="false">
      <c r="B43" s="19" t="s">
        <v>128</v>
      </c>
      <c r="C43" s="19"/>
      <c r="D43" s="19"/>
      <c r="E43" s="19"/>
      <c r="F43" s="19"/>
      <c r="G43" s="19"/>
      <c r="H43" s="19"/>
      <c r="I43" s="19"/>
      <c r="J43" s="19"/>
    </row>
  </sheetData>
  <mergeCells count="8">
    <mergeCell ref="B1:J1"/>
    <mergeCell ref="B2:J2"/>
    <mergeCell ref="B4:J4"/>
    <mergeCell ref="B15:J15"/>
    <mergeCell ref="B17:J17"/>
    <mergeCell ref="B32:J32"/>
    <mergeCell ref="B34:J34"/>
    <mergeCell ref="B43:J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864"/>
    <pageSetUpPr fitToPage="false"/>
  </sheetPr>
  <dimension ref="B1:J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4"/>
    <col collapsed="false" customWidth="true" hidden="false" outlineLevel="0" max="10" min="3" style="0" width="14"/>
  </cols>
  <sheetData>
    <row r="1" customFormat="false" ht="25.5" hidden="false" customHeight="true" outlineLevel="0" collapsed="false">
      <c r="B1" s="1" t="s">
        <v>129</v>
      </c>
      <c r="C1" s="1"/>
      <c r="D1" s="1"/>
      <c r="E1" s="1"/>
      <c r="F1" s="1"/>
      <c r="G1" s="1"/>
      <c r="H1" s="1"/>
      <c r="I1" s="1"/>
      <c r="J1" s="1"/>
    </row>
    <row r="2" customFormat="false" ht="27.75" hidden="false" customHeight="true" outlineLevel="0" collapsed="false">
      <c r="B2" s="2" t="s">
        <v>130</v>
      </c>
      <c r="C2" s="2"/>
      <c r="D2" s="2"/>
      <c r="E2" s="2"/>
      <c r="F2" s="2"/>
      <c r="G2" s="2"/>
      <c r="H2" s="2"/>
      <c r="I2" s="2"/>
      <c r="J2" s="2"/>
    </row>
    <row r="4" customFormat="false" ht="15" hidden="false" customHeight="false" outlineLevel="0" collapsed="false">
      <c r="B4" s="10" t="s">
        <v>131</v>
      </c>
      <c r="C4" s="10"/>
      <c r="D4" s="10"/>
      <c r="E4" s="10"/>
      <c r="F4" s="10"/>
      <c r="G4" s="10"/>
      <c r="H4" s="10"/>
      <c r="I4" s="10"/>
      <c r="J4" s="10"/>
    </row>
    <row r="5" customFormat="false" ht="15" hidden="false" customHeight="false" outlineLevel="0" collapsed="false">
      <c r="B5" s="7" t="s">
        <v>132</v>
      </c>
      <c r="C5" s="35" t="n">
        <f aca="false">1/(1+Ejercicio!$D$7)</f>
        <v>0.952380952380952</v>
      </c>
    </row>
    <row r="6" customFormat="false" ht="15" hidden="false" customHeight="false" outlineLevel="0" collapsed="false">
      <c r="B6" s="8" t="s">
        <v>133</v>
      </c>
      <c r="C6" s="24" t="n">
        <f aca="false">(C5*(1+Ejercicio!$D$7))^(1/Ejercicio!$G$6)</f>
        <v>1</v>
      </c>
      <c r="D6" s="23" t="s">
        <v>134</v>
      </c>
    </row>
    <row r="7" customFormat="false" ht="15" hidden="false" customHeight="false" outlineLevel="0" collapsed="false">
      <c r="B7" s="7" t="s">
        <v>135</v>
      </c>
      <c r="C7" s="27" t="n">
        <f aca="false">(Ejercicio!$D$5+Ejercicio!$D$6/(1+Ejercicio!$D$7))/(1+1/(1+Ejercicio!$D$7))</f>
        <v>109.756097560976</v>
      </c>
    </row>
    <row r="8" customFormat="false" ht="15" hidden="false" customHeight="false" outlineLevel="0" collapsed="false">
      <c r="B8" s="8" t="s">
        <v>136</v>
      </c>
      <c r="C8" s="13" t="n">
        <f aca="false">Ejercicio!$D$5-(Ejercicio!$D$5+Ejercicio!$D$6/(1+Ejercicio!$D$7))/(1+1/(1+Ejercicio!$D$7))</f>
        <v>-9.7560975609756</v>
      </c>
    </row>
    <row r="9" customFormat="false" ht="25.5" hidden="false" customHeight="true" outlineLevel="0" collapsed="false">
      <c r="B9" s="19" t="s">
        <v>137</v>
      </c>
      <c r="C9" s="19"/>
      <c r="D9" s="19"/>
      <c r="E9" s="19"/>
      <c r="F9" s="19"/>
      <c r="G9" s="19"/>
      <c r="H9" s="19"/>
      <c r="I9" s="19"/>
      <c r="J9" s="19"/>
    </row>
    <row r="11" customFormat="false" ht="15" hidden="false" customHeight="false" outlineLevel="0" collapsed="false">
      <c r="B11" s="10" t="s">
        <v>138</v>
      </c>
      <c r="C11" s="10"/>
      <c r="D11" s="10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B12" s="3" t="s">
        <v>109</v>
      </c>
      <c r="C12" s="3" t="s">
        <v>110</v>
      </c>
      <c r="D12" s="3" t="s">
        <v>99</v>
      </c>
      <c r="E12" s="3" t="s">
        <v>100</v>
      </c>
      <c r="F12" s="3" t="s">
        <v>111</v>
      </c>
    </row>
    <row r="13" customFormat="false" ht="15" hidden="false" customHeight="false" outlineLevel="0" collapsed="false">
      <c r="B13" s="36" t="n">
        <v>2</v>
      </c>
      <c r="C13" s="37" t="n">
        <f aca="false">(Ejercicio!$G$5*(1+Ejercicio!$D$7))^(1/B13)</f>
        <v>0.998749217771909</v>
      </c>
      <c r="D13" s="13" t="n">
        <f aca="false">(Ejercicio!$D$5+Ejercicio!$D$6/(1+Ejercicio!$D$7))/(1+C13/(1+Ejercicio!$D$7))</f>
        <v>109.823104774481</v>
      </c>
      <c r="E13" s="13" t="n">
        <f aca="false">C13*D13</f>
        <v>109.685739986795</v>
      </c>
      <c r="F13" s="13" t="n">
        <f aca="false">Ejercicio!$D$5-D13</f>
        <v>-9.82310477448083</v>
      </c>
    </row>
    <row r="14" customFormat="false" ht="15" hidden="false" customHeight="false" outlineLevel="0" collapsed="false">
      <c r="B14" s="36" t="n">
        <v>5</v>
      </c>
      <c r="C14" s="37" t="n">
        <f aca="false">(Ejercicio!$G$5*(1+Ejercicio!$D$7))^(1/B14)</f>
        <v>0.999499499248685</v>
      </c>
      <c r="D14" s="13" t="n">
        <f aca="false">(Ejercicio!$D$5+Ejercicio!$D$6/(1+Ejercicio!$D$7))/(1+C14/(1+Ejercicio!$D$7))</f>
        <v>109.78290069477</v>
      </c>
      <c r="E14" s="13" t="n">
        <f aca="false">C14*D14</f>
        <v>109.727954270491</v>
      </c>
      <c r="F14" s="13" t="n">
        <f aca="false">Ejercicio!$D$5-D14</f>
        <v>-9.78290069477038</v>
      </c>
    </row>
    <row r="15" customFormat="false" ht="15" hidden="false" customHeight="false" outlineLevel="0" collapsed="false">
      <c r="B15" s="36" t="n">
        <v>10</v>
      </c>
      <c r="C15" s="37" t="n">
        <f aca="false">(Ejercicio!$G$5*(1+Ejercicio!$D$7))^(1/B15)</f>
        <v>0.999749718303879</v>
      </c>
      <c r="D15" s="13" t="n">
        <f aca="false">(Ejercicio!$D$5+Ejercicio!$D$6/(1+Ejercicio!$D$7))/(1+C15/(1+Ejercicio!$D$7))</f>
        <v>109.769499168992</v>
      </c>
      <c r="E15" s="13" t="n">
        <f aca="false">C15*D15</f>
        <v>109.742025872558</v>
      </c>
      <c r="F15" s="13" t="n">
        <f aca="false">Ejercicio!$D$5-D15</f>
        <v>-9.7694991689924</v>
      </c>
    </row>
    <row r="16" customFormat="false" ht="15" hidden="false" customHeight="false" outlineLevel="0" collapsed="false">
      <c r="B16" s="36" t="n">
        <v>25</v>
      </c>
      <c r="C16" s="37" t="n">
        <f aca="false">(Ejercicio!$G$5*(1+Ejercicio!$D$7))^(1/B16)</f>
        <v>0.999899879803637</v>
      </c>
      <c r="D16" s="13" t="n">
        <f aca="false">(Ejercicio!$D$5+Ejercicio!$D$6/(1+Ejercicio!$D$7))/(1+C16/(1+Ejercicio!$D$7))</f>
        <v>109.761458214024</v>
      </c>
      <c r="E16" s="13" t="n">
        <f aca="false">C16*D16</f>
        <v>109.750468875275</v>
      </c>
      <c r="F16" s="13" t="n">
        <f aca="false">Ejercicio!$D$5-D16</f>
        <v>-9.76145821402415</v>
      </c>
    </row>
    <row r="17" customFormat="false" ht="15" hidden="false" customHeight="false" outlineLevel="0" collapsed="false">
      <c r="B17" s="36" t="n">
        <v>50</v>
      </c>
      <c r="C17" s="37" t="n">
        <f aca="false">(Ejercicio!$G$5*(1+Ejercicio!$D$7))^(1/B17)</f>
        <v>0.999949938648749</v>
      </c>
      <c r="D17" s="13" t="n">
        <f aca="false">(Ejercicio!$D$5+Ejercicio!$D$6/(1+Ejercicio!$D$7))/(1+C17/(1+Ejercicio!$D$7))</f>
        <v>109.758777889138</v>
      </c>
      <c r="E17" s="13" t="n">
        <f aca="false">C17*D17</f>
        <v>109.753283216405</v>
      </c>
      <c r="F17" s="13" t="n">
        <f aca="false">Ejercicio!$D$5-D17</f>
        <v>-9.75877788913795</v>
      </c>
    </row>
    <row r="18" customFormat="false" ht="15" hidden="false" customHeight="false" outlineLevel="0" collapsed="false">
      <c r="B18" s="36" t="n">
        <v>100</v>
      </c>
      <c r="C18" s="37" t="n">
        <f aca="false">(Ejercicio!$G$5*(1+Ejercicio!$D$7))^(1/B18)</f>
        <v>0.999974969011099</v>
      </c>
      <c r="D18" s="13" t="n">
        <f aca="false">(Ejercicio!$D$5+Ejercicio!$D$6/(1+Ejercicio!$D$7))/(1+C18/(1+Ejercicio!$D$7))</f>
        <v>109.757437725466</v>
      </c>
      <c r="E18" s="13" t="n">
        <f aca="false">C18*D18</f>
        <v>109.754690388261</v>
      </c>
      <c r="F18" s="13" t="n">
        <f aca="false">Ejercicio!$D$5-D18</f>
        <v>-9.75743772546608</v>
      </c>
    </row>
    <row r="19" customFormat="false" ht="15" hidden="false" customHeight="false" outlineLevel="0" collapsed="false">
      <c r="B19" s="36" t="n">
        <v>500</v>
      </c>
      <c r="C19" s="37" t="n">
        <f aca="false">(Ejercicio!$G$5*(1+Ejercicio!$D$7))^(1/B19)</f>
        <v>0.999994993752095</v>
      </c>
      <c r="D19" s="13" t="n">
        <f aca="false">(Ejercicio!$D$5+Ejercicio!$D$6/(1+Ejercicio!$D$7))/(1+C19/(1+Ejercicio!$D$7))</f>
        <v>109.756365593939</v>
      </c>
      <c r="E19" s="13" t="n">
        <f aca="false">C19*D19</f>
        <v>109.755816126364</v>
      </c>
      <c r="F19" s="13" t="n">
        <f aca="false">Ejercicio!$D$5-D19</f>
        <v>-9.75636559393917</v>
      </c>
    </row>
    <row r="20" customFormat="false" ht="39" hidden="false" customHeight="true" outlineLevel="0" collapsed="false">
      <c r="B20" s="19" t="s">
        <v>139</v>
      </c>
      <c r="C20" s="19"/>
      <c r="D20" s="19"/>
      <c r="E20" s="19"/>
      <c r="F20" s="19"/>
      <c r="G20" s="19"/>
      <c r="H20" s="19"/>
      <c r="I20" s="19"/>
      <c r="J20" s="19"/>
    </row>
    <row r="22" customFormat="false" ht="15" hidden="false" customHeight="false" outlineLevel="0" collapsed="false">
      <c r="B22" s="10" t="s">
        <v>140</v>
      </c>
      <c r="C22" s="10"/>
      <c r="D22" s="10"/>
      <c r="E22" s="10"/>
      <c r="F22" s="10"/>
      <c r="G22" s="10"/>
      <c r="H22" s="10"/>
      <c r="I22" s="10"/>
      <c r="J22" s="10"/>
    </row>
    <row r="23" customFormat="false" ht="15" hidden="false" customHeight="false" outlineLevel="0" collapsed="false">
      <c r="B23" s="3" t="s">
        <v>109</v>
      </c>
      <c r="C23" s="3" t="s">
        <v>110</v>
      </c>
      <c r="D23" s="3" t="s">
        <v>99</v>
      </c>
      <c r="E23" s="3" t="s">
        <v>100</v>
      </c>
      <c r="F23" s="3" t="s">
        <v>111</v>
      </c>
      <c r="G23" s="3" t="s">
        <v>141</v>
      </c>
    </row>
    <row r="24" customFormat="false" ht="15" hidden="false" customHeight="false" outlineLevel="0" collapsed="false">
      <c r="B24" s="32" t="n">
        <v>1</v>
      </c>
      <c r="C24" s="32" t="n">
        <f aca="false">(Ejercicio!$G$5*(1+Ejercicio!$D$7))^(1/B24)</f>
        <v>0.9975</v>
      </c>
      <c r="D24" s="13" t="n">
        <f aca="false">(Ejercicio!$D$5+Ejercicio!$D$6/(1+Ejercicio!$D$7))/(1+C24/(1+Ejercicio!$D$7))</f>
        <v>109.89010989011</v>
      </c>
      <c r="E24" s="13" t="n">
        <f aca="false">C24*D24</f>
        <v>109.615384615385</v>
      </c>
      <c r="F24" s="13" t="n">
        <f aca="false">Ejercicio!$D$5-D24</f>
        <v>-9.89010989010988</v>
      </c>
      <c r="G24" s="33" t="str">
        <f aca="false">IF(D24&gt;0.95*(Ejercicio!$D$5+Ejercicio!$D$6/(1+Ejercicio!$D$7)),"→ todo hoy (esquina)",IF(D24&gt;1.2*Ejercicio!$D$5,"acercándose a la esquina","interior"))</f>
        <v>interior</v>
      </c>
    </row>
    <row r="25" customFormat="false" ht="15" hidden="false" customHeight="false" outlineLevel="0" collapsed="false">
      <c r="B25" s="32" t="n">
        <v>0.5</v>
      </c>
      <c r="C25" s="32" t="n">
        <f aca="false">(Ejercicio!$G$5*(1+Ejercicio!$D$7))^(1/B25)</f>
        <v>0.99500625</v>
      </c>
      <c r="D25" s="13" t="n">
        <f aca="false">(Ejercicio!$D$5+Ejercicio!$D$6/(1+Ejercicio!$D$7))/(1+C25/(1+Ejercicio!$D$7))</f>
        <v>110.024113618235</v>
      </c>
      <c r="E25" s="13" t="n">
        <f aca="false">C25*D25</f>
        <v>109.474680700854</v>
      </c>
      <c r="F25" s="13" t="n">
        <f aca="false">Ejercicio!$D$5-D25</f>
        <v>-10.0241136182347</v>
      </c>
      <c r="G25" s="33" t="str">
        <f aca="false">IF(D25&gt;0.95*(Ejercicio!$D$5+Ejercicio!$D$6/(1+Ejercicio!$D$7)),"→ todo hoy (esquina)",IF(D25&gt;1.2*Ejercicio!$D$5,"acercándose a la esquina","interior"))</f>
        <v>interior</v>
      </c>
    </row>
    <row r="26" customFormat="false" ht="15" hidden="false" customHeight="false" outlineLevel="0" collapsed="false">
      <c r="B26" s="32" t="n">
        <v>0.25</v>
      </c>
      <c r="C26" s="32" t="n">
        <f aca="false">(Ejercicio!$G$5*(1+Ejercicio!$D$7))^(1/B26)</f>
        <v>0.990037437539062</v>
      </c>
      <c r="D26" s="13" t="n">
        <f aca="false">(Ejercicio!$D$5+Ejercicio!$D$6/(1+Ejercicio!$D$7))/(1+C26/(1+Ejercicio!$D$7))</f>
        <v>110.292093595803</v>
      </c>
      <c r="E26" s="13" t="n">
        <f aca="false">C26*D26</f>
        <v>109.193301724407</v>
      </c>
      <c r="F26" s="13" t="n">
        <f aca="false">Ejercicio!$D$5-D26</f>
        <v>-10.2920935958028</v>
      </c>
      <c r="G26" s="33" t="str">
        <f aca="false">IF(D26&gt;0.95*(Ejercicio!$D$5+Ejercicio!$D$6/(1+Ejercicio!$D$7)),"→ todo hoy (esquina)",IF(D26&gt;1.2*Ejercicio!$D$5,"acercándose a la esquina","interior"))</f>
        <v>interior</v>
      </c>
    </row>
    <row r="27" customFormat="false" ht="15" hidden="false" customHeight="false" outlineLevel="0" collapsed="false">
      <c r="B27" s="32" t="n">
        <v>0.1</v>
      </c>
      <c r="C27" s="32" t="n">
        <f aca="false">(Ejercicio!$G$5*(1+Ejercicio!$D$7))^(1/B27)</f>
        <v>0.975279383178566</v>
      </c>
      <c r="D27" s="13" t="n">
        <f aca="false">(Ejercicio!$D$5+Ejercicio!$D$6/(1+Ejercicio!$D$7))/(1+C27/(1+Ejercicio!$D$7))</f>
        <v>111.095783558945</v>
      </c>
      <c r="E27" s="13" t="n">
        <f aca="false">C27*D27</f>
        <v>108.349427263108</v>
      </c>
      <c r="F27" s="13" t="n">
        <f aca="false">Ejercicio!$D$5-D27</f>
        <v>-11.0957835589452</v>
      </c>
      <c r="G27" s="33" t="str">
        <f aca="false">IF(D27&gt;0.95*(Ejercicio!$D$5+Ejercicio!$D$6/(1+Ejercicio!$D$7)),"→ todo hoy (esquina)",IF(D27&gt;1.2*Ejercicio!$D$5,"acercándose a la esquina","interior"))</f>
        <v>interior</v>
      </c>
    </row>
    <row r="28" customFormat="false" ht="15" hidden="false" customHeight="false" outlineLevel="0" collapsed="false">
      <c r="B28" s="32" t="n">
        <v>0.05</v>
      </c>
      <c r="C28" s="32" t="n">
        <f aca="false">(Ejercicio!$G$5*(1+Ejercicio!$D$7))^(1/B28)</f>
        <v>0.951169875253165</v>
      </c>
      <c r="D28" s="13" t="n">
        <f aca="false">(Ejercicio!$D$5+Ejercicio!$D$6/(1+Ejercicio!$D$7))/(1+C28/(1+Ejercicio!$D$7))</f>
        <v>112.43423298661</v>
      </c>
      <c r="E28" s="13" t="n">
        <f aca="false">C28*D28</f>
        <v>106.944055364059</v>
      </c>
      <c r="F28" s="13" t="n">
        <f aca="false">Ejercicio!$D$5-D28</f>
        <v>-12.4342329866102</v>
      </c>
      <c r="G28" s="33" t="str">
        <f aca="false">IF(D28&gt;0.95*(Ejercicio!$D$5+Ejercicio!$D$6/(1+Ejercicio!$D$7)),"→ todo hoy (esquina)",IF(D28&gt;1.2*Ejercicio!$D$5,"acercándose a la esquina","interior"))</f>
        <v>interior</v>
      </c>
    </row>
    <row r="29" customFormat="false" ht="15" hidden="false" customHeight="false" outlineLevel="0" collapsed="false">
      <c r="B29" s="32" t="n">
        <v>0.01</v>
      </c>
      <c r="C29" s="32" t="n">
        <f aca="false">(Ejercicio!$G$5*(1+Ejercicio!$D$7))^(1/B29)</f>
        <v>0.778557039589714</v>
      </c>
      <c r="D29" s="13" t="n">
        <f aca="false">(Ejercicio!$D$5+Ejercicio!$D$6/(1+Ejercicio!$D$7))/(1+C29/(1+Ejercicio!$D$7))</f>
        <v>123.047843260326</v>
      </c>
      <c r="E29" s="13" t="n">
        <f aca="false">C29*D29</f>
        <v>95.7997645766582</v>
      </c>
      <c r="F29" s="13" t="n">
        <f aca="false">Ejercicio!$D$5-D29</f>
        <v>-23.0478432603255</v>
      </c>
      <c r="G29" s="33" t="str">
        <f aca="false">IF(D29&gt;0.95*(Ejercicio!$D$5+Ejercicio!$D$6/(1+Ejercicio!$D$7)),"→ todo hoy (esquina)",IF(D29&gt;1.2*Ejercicio!$D$5,"acercándose a la esquina","interior"))</f>
        <v>acercándose a la esquina</v>
      </c>
    </row>
    <row r="30" customFormat="false" ht="15" hidden="false" customHeight="false" outlineLevel="0" collapsed="false">
      <c r="B30" s="32" t="n">
        <v>0.005</v>
      </c>
      <c r="C30" s="32" t="n">
        <f aca="false">(Ejercicio!$G$5*(1+Ejercicio!$D$7))^(1/B30)</f>
        <v>0.6061510638947</v>
      </c>
      <c r="D30" s="13" t="n">
        <f aca="false">(Ejercicio!$D$5+Ejercicio!$D$6/(1+Ejercicio!$D$7))/(1+C30/(1+Ejercicio!$D$7))</f>
        <v>135.857172032892</v>
      </c>
      <c r="E30" s="13" t="n">
        <f aca="false">C30*D30</f>
        <v>82.349969365463</v>
      </c>
      <c r="F30" s="13" t="n">
        <f aca="false">Ejercicio!$D$5-D30</f>
        <v>-35.8571720328924</v>
      </c>
      <c r="G30" s="33" t="str">
        <f aca="false">IF(D30&gt;0.95*(Ejercicio!$D$5+Ejercicio!$D$6/(1+Ejercicio!$D$7)),"→ todo hoy (esquina)",IF(D30&gt;1.2*Ejercicio!$D$5,"acercándose a la esquina","interior"))</f>
        <v>acercándose a la esquina</v>
      </c>
    </row>
    <row r="31" customFormat="false" ht="15" hidden="false" customHeight="false" outlineLevel="0" collapsed="false">
      <c r="B31" s="32" t="n">
        <v>0.002</v>
      </c>
      <c r="C31" s="32" t="n">
        <f aca="false">(Ejercicio!$G$5*(1+Ejercicio!$D$7))^(1/B31)</f>
        <v>0.286056736330353</v>
      </c>
      <c r="D31" s="13" t="n">
        <f aca="false">(Ejercicio!$D$5+Ejercicio!$D$6/(1+Ejercicio!$D$7))/(1+C31/(1+Ejercicio!$D$7))</f>
        <v>168.406021901428</v>
      </c>
      <c r="E31" s="13" t="n">
        <f aca="false">C31*D31</f>
        <v>48.1736770035005</v>
      </c>
      <c r="F31" s="13" t="n">
        <f aca="false">Ejercicio!$D$5-D31</f>
        <v>-68.4060219014281</v>
      </c>
      <c r="G31" s="33" t="str">
        <f aca="false">IF(D31&gt;0.95*(Ejercicio!$D$5+Ejercicio!$D$6/(1+Ejercicio!$D$7)),"→ todo hoy (esquina)",IF(D31&gt;1.2*Ejercicio!$D$5,"acercándose a la esquina","interior"))</f>
        <v>acercándose a la esquina</v>
      </c>
    </row>
    <row r="32" customFormat="false" ht="15" hidden="false" customHeight="false" outlineLevel="0" collapsed="false">
      <c r="B32" s="32" t="n">
        <v>0.001</v>
      </c>
      <c r="C32" s="32" t="n">
        <f aca="false">(Ejercicio!$G$5*(1+Ejercicio!$D$7))^(1/B32)</f>
        <v>0.0818284563999731</v>
      </c>
      <c r="D32" s="13" t="n">
        <f aca="false">(Ejercicio!$D$5+Ejercicio!$D$6/(1+Ejercicio!$D$7))/(1+C32/(1+Ejercicio!$D$7))</f>
        <v>198.793376087805</v>
      </c>
      <c r="E32" s="13" t="n">
        <f aca="false">C32*D32</f>
        <v>16.2669551078044</v>
      </c>
      <c r="F32" s="13" t="n">
        <f aca="false">Ejercicio!$D$5-D32</f>
        <v>-98.7933760878053</v>
      </c>
      <c r="G32" s="33" t="str">
        <f aca="false">IF(D32&gt;0.95*(Ejercicio!$D$5+Ejercicio!$D$6/(1+Ejercicio!$D$7)),"→ todo hoy (esquina)",IF(D32&gt;1.2*Ejercicio!$D$5,"acercándose a la esquina","interior"))</f>
        <v>acercándose a la esquina</v>
      </c>
    </row>
    <row r="33" customFormat="false" ht="15" hidden="false" customHeight="false" outlineLevel="0" collapsed="false">
      <c r="B33" s="32" t="n">
        <v>0.0005</v>
      </c>
      <c r="C33" s="32" t="n">
        <f aca="false">(Ejercicio!$G$5*(1+Ejercicio!$D$7))^(1/B33)</f>
        <v>0.0066958962768023</v>
      </c>
      <c r="D33" s="13" t="n">
        <f aca="false">(Ejercicio!$D$5+Ejercicio!$D$6/(1+Ejercicio!$D$7))/(1+C33/(1+Ejercicio!$D$7))</f>
        <v>212.92786391314</v>
      </c>
      <c r="E33" s="13" t="n">
        <f aca="false">C33*D33</f>
        <v>1.42574289120346</v>
      </c>
      <c r="F33" s="13" t="n">
        <f aca="false">Ejercicio!$D$5-D33</f>
        <v>-112.92786391314</v>
      </c>
      <c r="G33" s="33" t="str">
        <f aca="false">IF(D33&gt;0.95*(Ejercicio!$D$5+Ejercicio!$D$6/(1+Ejercicio!$D$7)),"→ todo hoy (esquina)",IF(D33&gt;1.2*Ejercicio!$D$5,"acercándose a la esquina","interior"))</f>
        <v>→ todo hoy (esquina)</v>
      </c>
    </row>
    <row r="34" customFormat="false" ht="39" hidden="false" customHeight="true" outlineLevel="0" collapsed="false">
      <c r="B34" s="19" t="s">
        <v>142</v>
      </c>
      <c r="C34" s="19"/>
      <c r="D34" s="19"/>
      <c r="E34" s="19"/>
      <c r="F34" s="19"/>
      <c r="G34" s="19"/>
      <c r="H34" s="19"/>
      <c r="I34" s="19"/>
      <c r="J34" s="19"/>
    </row>
    <row r="36" customFormat="false" ht="15" hidden="false" customHeight="false" outlineLevel="0" collapsed="false">
      <c r="B36" s="10" t="s">
        <v>143</v>
      </c>
      <c r="C36" s="10"/>
      <c r="D36" s="10"/>
      <c r="E36" s="10"/>
      <c r="F36" s="10"/>
      <c r="G36" s="10"/>
      <c r="H36" s="10"/>
      <c r="I36" s="10"/>
      <c r="J36" s="10"/>
    </row>
    <row r="37" customFormat="false" ht="15" hidden="false" customHeight="false" outlineLevel="0" collapsed="false">
      <c r="B37" s="3" t="s">
        <v>144</v>
      </c>
      <c r="C37" s="3" t="s">
        <v>145</v>
      </c>
      <c r="D37" s="3" t="s">
        <v>99</v>
      </c>
      <c r="E37" s="3" t="s">
        <v>100</v>
      </c>
      <c r="F37" s="3" t="s">
        <v>111</v>
      </c>
      <c r="G37" s="3" t="s">
        <v>146</v>
      </c>
    </row>
    <row r="38" customFormat="false" ht="15" hidden="false" customHeight="false" outlineLevel="0" collapsed="false">
      <c r="B38" s="38" t="s">
        <v>147</v>
      </c>
      <c r="C38" s="24" t="n">
        <f aca="false">(Ejercicio!$G$5*(1+Ejercicio!$D$7))^(1/Ejercicio!$G$6)</f>
        <v>0.998749217771909</v>
      </c>
      <c r="D38" s="13" t="n">
        <f aca="false">(Ejercicio!$D$5+Ejercicio!$D$6/(1+Ejercicio!$D$7))/(1+C38/(1+Ejercicio!$D$7))</f>
        <v>109.823104774481</v>
      </c>
      <c r="E38" s="13" t="n">
        <f aca="false">C38*D38</f>
        <v>109.685739986795</v>
      </c>
      <c r="F38" s="13" t="n">
        <f aca="false">Ejercicio!$D$5-D38</f>
        <v>-9.82310477448083</v>
      </c>
      <c r="G38" s="33"/>
    </row>
    <row r="39" customFormat="false" ht="15" hidden="false" customHeight="false" outlineLevel="0" collapsed="false">
      <c r="B39" s="38" t="s">
        <v>148</v>
      </c>
      <c r="C39" s="24" t="n">
        <f aca="false">Ejercicio!$G$5*(1+Ejercicio!$D$7)</f>
        <v>0.9975</v>
      </c>
      <c r="D39" s="13" t="n">
        <f aca="false">(Ejercicio!$D$5+Ejercicio!$D$6/(1+Ejercicio!$D$7))/(1+C39/(1+Ejercicio!$D$7))</f>
        <v>109.89010989011</v>
      </c>
      <c r="E39" s="13" t="n">
        <f aca="false">C39*D39</f>
        <v>109.615384615385</v>
      </c>
      <c r="F39" s="13" t="n">
        <f aca="false">Ejercicio!$D$5-D39</f>
        <v>-9.89010989010988</v>
      </c>
      <c r="G39" s="30" t="n">
        <f aca="false">D39-D38</f>
        <v>0.0670051156290583</v>
      </c>
    </row>
    <row r="41" customFormat="false" ht="39" hidden="false" customHeight="true" outlineLevel="0" collapsed="false">
      <c r="B41" s="19" t="s">
        <v>149</v>
      </c>
      <c r="C41" s="19"/>
      <c r="D41" s="19"/>
      <c r="E41" s="19"/>
      <c r="F41" s="19"/>
      <c r="G41" s="19"/>
      <c r="H41" s="19"/>
      <c r="I41" s="19"/>
      <c r="J41" s="19"/>
    </row>
  </sheetData>
  <mergeCells count="10">
    <mergeCell ref="B1:J1"/>
    <mergeCell ref="B2:J2"/>
    <mergeCell ref="B4:J4"/>
    <mergeCell ref="B9:J9"/>
    <mergeCell ref="B11:J11"/>
    <mergeCell ref="B20:J20"/>
    <mergeCell ref="B22:J22"/>
    <mergeCell ref="B34:J34"/>
    <mergeCell ref="B36:J36"/>
    <mergeCell ref="B41:J4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2026-08-04T13:06:22Z</dcterms:created>
  <dc:creator>openpyxl</dc:creator>
  <dc:description/>
  <dc:language>en-US</dc:language>
  <cp:lastModifiedBy/>
  <dcterms:modified xsi:type="dcterms:W3CDTF">2026-08-04T13:06:24Z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